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769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payesh!$A$1:$N$173</definedName>
  </definedNames>
  <calcPr calcId="162913"/>
</workbook>
</file>

<file path=xl/calcChain.xml><?xml version="1.0" encoding="utf-8"?>
<calcChain xmlns="http://schemas.openxmlformats.org/spreadsheetml/2006/main">
  <c r="R38" i="15" l="1"/>
  <c r="Q38" i="15"/>
  <c r="P38" i="15"/>
  <c r="R36" i="15"/>
  <c r="Q36" i="15"/>
  <c r="P36" i="15"/>
  <c r="R29" i="15"/>
  <c r="Q29" i="15"/>
  <c r="P29" i="15"/>
  <c r="R31" i="15"/>
  <c r="Q31" i="15"/>
  <c r="P31" i="15"/>
  <c r="R24" i="15"/>
  <c r="Q24" i="15"/>
  <c r="P24" i="15"/>
  <c r="T17" i="15"/>
  <c r="R17" i="15"/>
  <c r="Q17" i="15"/>
  <c r="P17" i="15"/>
  <c r="R22" i="15"/>
  <c r="Q22" i="15"/>
  <c r="P22" i="15"/>
  <c r="P15" i="15"/>
  <c r="R15" i="15"/>
  <c r="Q15" i="15"/>
  <c r="R39" i="15" l="1"/>
  <c r="R40" i="15"/>
  <c r="P39" i="15"/>
  <c r="Q39" i="15"/>
  <c r="P40" i="15"/>
  <c r="Q40" i="15"/>
  <c r="R37" i="15"/>
  <c r="Q37" i="15"/>
  <c r="P37" i="15"/>
  <c r="P32" i="15"/>
  <c r="Q32" i="15"/>
  <c r="R32" i="15"/>
  <c r="P33" i="15"/>
  <c r="Q33" i="15"/>
  <c r="R33" i="15"/>
  <c r="R30" i="15"/>
  <c r="P30" i="15"/>
  <c r="Q30" i="15"/>
  <c r="P25" i="15"/>
  <c r="Q25" i="15"/>
  <c r="R25" i="15"/>
  <c r="P26" i="15"/>
  <c r="Q26" i="15"/>
  <c r="R26" i="15"/>
  <c r="R23" i="15"/>
  <c r="Q23" i="15"/>
  <c r="P23" i="15"/>
  <c r="Q27" i="15" l="1"/>
  <c r="R41" i="15"/>
  <c r="Q41" i="15"/>
  <c r="P41" i="15"/>
  <c r="Q34" i="15"/>
  <c r="R34" i="15"/>
  <c r="P34" i="15"/>
  <c r="P27" i="15"/>
  <c r="R27" i="15"/>
  <c r="T18" i="15"/>
  <c r="T19" i="15"/>
  <c r="T16" i="15"/>
  <c r="T15" i="15"/>
  <c r="R16" i="15"/>
  <c r="R18" i="15"/>
  <c r="R19" i="15"/>
  <c r="Q16" i="15"/>
  <c r="Q18" i="15"/>
  <c r="Q19" i="15"/>
  <c r="T20" i="15" l="1"/>
  <c r="R20" i="15"/>
  <c r="Q20" i="15"/>
  <c r="P16" i="15"/>
  <c r="S16" i="15" s="1"/>
  <c r="S15" i="15"/>
  <c r="S17" i="15"/>
  <c r="P18" i="15"/>
  <c r="S18" i="15" s="1"/>
  <c r="P19" i="15"/>
  <c r="S19" i="15" s="1"/>
  <c r="S20" i="15" l="1"/>
  <c r="P20" i="15"/>
  <c r="H82" i="12"/>
  <c r="Q5" i="15" l="1"/>
  <c r="L6" i="15"/>
  <c r="L5" i="15"/>
  <c r="D6" i="15"/>
  <c r="D5" i="15"/>
  <c r="D4" i="15"/>
  <c r="Q6" i="15" l="1"/>
  <c r="Q7" i="15"/>
  <c r="Q8" i="15"/>
  <c r="Q9" i="15"/>
  <c r="L7" i="15"/>
  <c r="L8" i="15"/>
  <c r="L9" i="15"/>
  <c r="L10" i="15"/>
  <c r="L11" i="15"/>
  <c r="L12" i="15"/>
  <c r="L13" i="15"/>
  <c r="E4" i="19" l="1"/>
  <c r="F4" i="19"/>
  <c r="G4" i="19"/>
  <c r="H4" i="19"/>
  <c r="I4" i="19"/>
  <c r="J4" i="19"/>
  <c r="K4" i="19"/>
  <c r="L4" i="19"/>
  <c r="M4" i="19"/>
  <c r="E5" i="19"/>
  <c r="F5" i="19"/>
  <c r="G5" i="19"/>
  <c r="H5" i="19"/>
  <c r="I5" i="19"/>
  <c r="J5" i="19"/>
  <c r="K5" i="19"/>
  <c r="L5" i="19"/>
  <c r="M5" i="19"/>
  <c r="E6" i="19"/>
  <c r="F6" i="19"/>
  <c r="G6" i="19"/>
  <c r="H6" i="19"/>
  <c r="I6" i="19"/>
  <c r="J6" i="19"/>
  <c r="K6" i="19"/>
  <c r="L6" i="19"/>
  <c r="M6" i="19"/>
  <c r="E7" i="19"/>
  <c r="F7" i="19"/>
  <c r="G7" i="19"/>
  <c r="H7" i="19"/>
  <c r="I7" i="19"/>
  <c r="J7" i="19"/>
  <c r="K7" i="19"/>
  <c r="L7" i="19"/>
  <c r="M7" i="19"/>
  <c r="E8" i="19"/>
  <c r="F8" i="19"/>
  <c r="G8" i="19"/>
  <c r="H8" i="19"/>
  <c r="I8" i="19"/>
  <c r="J8" i="19"/>
  <c r="K8" i="19"/>
  <c r="L8" i="19"/>
  <c r="M8" i="19"/>
  <c r="E9" i="19"/>
  <c r="F9" i="19"/>
  <c r="G9" i="19"/>
  <c r="H9" i="19"/>
  <c r="I9" i="19"/>
  <c r="J9" i="19"/>
  <c r="K9" i="19"/>
  <c r="L9" i="19"/>
  <c r="M9" i="19"/>
  <c r="E10" i="19"/>
  <c r="F10" i="19"/>
  <c r="G10" i="19"/>
  <c r="H10" i="19"/>
  <c r="I10" i="19"/>
  <c r="J10" i="19"/>
  <c r="K10" i="19"/>
  <c r="L10" i="19"/>
  <c r="M10" i="19"/>
  <c r="E11" i="19"/>
  <c r="F11" i="19"/>
  <c r="G11" i="19"/>
  <c r="H11" i="19"/>
  <c r="I11" i="19"/>
  <c r="J11" i="19"/>
  <c r="K11" i="19"/>
  <c r="L11" i="19"/>
  <c r="M11" i="19"/>
  <c r="D7" i="19"/>
  <c r="D8" i="19"/>
  <c r="N8" i="19" s="1"/>
  <c r="D9" i="19"/>
  <c r="D10" i="19"/>
  <c r="N10" i="19" s="1"/>
  <c r="D11" i="19"/>
  <c r="D6" i="19"/>
  <c r="N6" i="19" s="1"/>
  <c r="D5" i="19"/>
  <c r="D4" i="19"/>
  <c r="D3" i="19"/>
  <c r="T3" i="19"/>
  <c r="N11" i="19" l="1"/>
  <c r="T10" i="19"/>
  <c r="N9" i="19"/>
  <c r="T8" i="19"/>
  <c r="N7" i="19"/>
  <c r="T6" i="19"/>
  <c r="T11" i="19"/>
  <c r="T9" i="19"/>
  <c r="T7" i="19"/>
  <c r="T12" i="19" s="1"/>
  <c r="N12" i="19"/>
  <c r="Q10" i="15" l="1"/>
  <c r="L14" i="15"/>
  <c r="F58" i="12"/>
  <c r="G58" i="12"/>
  <c r="H58" i="12"/>
  <c r="I58" i="12"/>
  <c r="J58" i="12"/>
  <c r="K58" i="12"/>
  <c r="L58" i="12"/>
  <c r="M58" i="12"/>
  <c r="N58" i="12"/>
  <c r="E58" i="12"/>
  <c r="D7" i="15" l="1"/>
  <c r="D8" i="15"/>
  <c r="D9" i="15"/>
  <c r="D10" i="15"/>
  <c r="D11" i="15"/>
  <c r="D12" i="15"/>
  <c r="D13" i="15"/>
  <c r="D14" i="15"/>
  <c r="D15" i="15"/>
  <c r="F34" i="12" l="1"/>
  <c r="G34" i="12"/>
  <c r="H34" i="12"/>
  <c r="I34" i="12"/>
  <c r="J34" i="12"/>
  <c r="K34" i="12"/>
  <c r="L34" i="12"/>
  <c r="M34" i="12"/>
  <c r="N34" i="12"/>
  <c r="E34" i="12"/>
  <c r="E25" i="12" l="1"/>
  <c r="E23" i="14" l="1"/>
  <c r="B8" i="16" l="1"/>
  <c r="B7" i="16"/>
  <c r="B6" i="16"/>
  <c r="B5" i="16"/>
  <c r="B4" i="16"/>
  <c r="E9" i="14"/>
  <c r="E22" i="14"/>
  <c r="AB5" i="13"/>
  <c r="AB6" i="13"/>
  <c r="AB7" i="13"/>
  <c r="AB8" i="13"/>
  <c r="AB9" i="13"/>
  <c r="AB10" i="13"/>
  <c r="AB11" i="13"/>
  <c r="AB12" i="13"/>
  <c r="AB13" i="13"/>
  <c r="AC5" i="13"/>
  <c r="AC6" i="13"/>
  <c r="AC7" i="13"/>
  <c r="AC8" i="13"/>
  <c r="AC9" i="13"/>
  <c r="AC10" i="13"/>
  <c r="AC11" i="13"/>
  <c r="AC12" i="13"/>
  <c r="AC13" i="13"/>
  <c r="AD5" i="13"/>
  <c r="AD6" i="13"/>
  <c r="AD7" i="13"/>
  <c r="AD8" i="13"/>
  <c r="AD9" i="13"/>
  <c r="AD10" i="13"/>
  <c r="AD11" i="13"/>
  <c r="AD12" i="13"/>
  <c r="AD13" i="13"/>
  <c r="AE5" i="13"/>
  <c r="AE6" i="13"/>
  <c r="AE7" i="13"/>
  <c r="AE8" i="13"/>
  <c r="AE9" i="13"/>
  <c r="AE10" i="13"/>
  <c r="AE11" i="13"/>
  <c r="AE12" i="13"/>
  <c r="AE13" i="13"/>
  <c r="AF5" i="13"/>
  <c r="AF6" i="13"/>
  <c r="AF7" i="13"/>
  <c r="AF8" i="13"/>
  <c r="AF9" i="13"/>
  <c r="AF10" i="13"/>
  <c r="AF11" i="13"/>
  <c r="AF12" i="13"/>
  <c r="AF13" i="13"/>
  <c r="AG5" i="13"/>
  <c r="AG6" i="13"/>
  <c r="AG7" i="13"/>
  <c r="AG8" i="13"/>
  <c r="AG9" i="13"/>
  <c r="AG10" i="13"/>
  <c r="AG11" i="13"/>
  <c r="AG12" i="13"/>
  <c r="AG13" i="13"/>
  <c r="AH5" i="13"/>
  <c r="AH6" i="13"/>
  <c r="AH7" i="13"/>
  <c r="AH8" i="13"/>
  <c r="AH9" i="13"/>
  <c r="AH10" i="13"/>
  <c r="AH11" i="13"/>
  <c r="AH12" i="13"/>
  <c r="AH13" i="13"/>
  <c r="AI5" i="13"/>
  <c r="AI6" i="13"/>
  <c r="AI7" i="13"/>
  <c r="AI8" i="13"/>
  <c r="AI9" i="13"/>
  <c r="AI10" i="13"/>
  <c r="AI11" i="13"/>
  <c r="AI12" i="13"/>
  <c r="AI13" i="13"/>
  <c r="AJ5" i="13"/>
  <c r="AJ6" i="13"/>
  <c r="AJ7" i="13"/>
  <c r="AJ8" i="13"/>
  <c r="AJ9" i="13"/>
  <c r="AJ10" i="13"/>
  <c r="AJ11" i="13"/>
  <c r="AJ12" i="13"/>
  <c r="AJ13" i="13"/>
  <c r="AK5" i="13"/>
  <c r="AK6" i="13"/>
  <c r="AK7" i="13"/>
  <c r="AK8" i="13"/>
  <c r="AK9" i="13"/>
  <c r="AK10" i="13"/>
  <c r="AK11" i="13"/>
  <c r="AK12" i="13"/>
  <c r="AK13" i="13"/>
  <c r="AC4" i="13"/>
  <c r="AD4" i="13"/>
  <c r="AE4" i="13"/>
  <c r="AF4" i="13"/>
  <c r="AG4" i="13"/>
  <c r="AH4" i="13"/>
  <c r="AI4" i="13"/>
  <c r="AJ4" i="13"/>
  <c r="AK4" i="13"/>
  <c r="AB4" i="13"/>
  <c r="Z13" i="13"/>
  <c r="Z12" i="13"/>
  <c r="Z11" i="13"/>
  <c r="Z10" i="13"/>
  <c r="Z9" i="13"/>
  <c r="Z8" i="13"/>
  <c r="Z7" i="13"/>
  <c r="Z6" i="13"/>
  <c r="Z5" i="13"/>
  <c r="Z4" i="13"/>
  <c r="Y13" i="13"/>
  <c r="Y12" i="13"/>
  <c r="Y11" i="13"/>
  <c r="Y10" i="13"/>
  <c r="Y9" i="13"/>
  <c r="Y8" i="13"/>
  <c r="Y7" i="13"/>
  <c r="Y6" i="13"/>
  <c r="Y5" i="13"/>
  <c r="Y4" i="13"/>
  <c r="U13" i="13"/>
  <c r="U12" i="13"/>
  <c r="U11" i="13"/>
  <c r="U10" i="13"/>
  <c r="U9" i="13" l="1"/>
  <c r="U8" i="13"/>
  <c r="U7" i="13"/>
  <c r="U6" i="13"/>
  <c r="U5" i="13"/>
  <c r="U4" i="13"/>
  <c r="S13" i="13"/>
  <c r="S12" i="13"/>
  <c r="S11" i="13"/>
  <c r="S10" i="13"/>
  <c r="S9" i="13"/>
  <c r="S8" i="13"/>
  <c r="S7" i="13"/>
  <c r="S6" i="13"/>
  <c r="S5" i="13"/>
  <c r="S4" i="13"/>
  <c r="F57" i="12" l="1"/>
  <c r="G57" i="12"/>
  <c r="H57" i="12"/>
  <c r="I57" i="12"/>
  <c r="J57" i="12"/>
  <c r="K57" i="12"/>
  <c r="L57" i="12"/>
  <c r="M57" i="12"/>
  <c r="N57" i="12"/>
  <c r="E57" i="12"/>
  <c r="E52" i="14" l="1"/>
  <c r="E51" i="14"/>
  <c r="E49" i="14"/>
  <c r="E39" i="14"/>
  <c r="E32" i="14"/>
  <c r="E25" i="14"/>
  <c r="E19" i="14"/>
  <c r="AB7" i="17" l="1"/>
  <c r="AC7" i="17"/>
  <c r="AD7" i="17"/>
  <c r="AE7" i="17"/>
  <c r="AF7" i="17"/>
  <c r="AG7" i="17"/>
  <c r="AH7" i="17"/>
  <c r="AI7" i="17"/>
  <c r="AJ7" i="17"/>
  <c r="AB8" i="17"/>
  <c r="AC8" i="17"/>
  <c r="AD8" i="17"/>
  <c r="AE8" i="17"/>
  <c r="AF8" i="17"/>
  <c r="AG8" i="17"/>
  <c r="AH8" i="17"/>
  <c r="AI8" i="17"/>
  <c r="AJ8" i="17"/>
  <c r="AB9" i="17"/>
  <c r="AC9" i="17"/>
  <c r="AD9" i="17"/>
  <c r="AE9" i="17"/>
  <c r="AF9" i="17"/>
  <c r="AG9" i="17"/>
  <c r="AH9" i="17"/>
  <c r="AI9" i="17"/>
  <c r="AJ9" i="17"/>
  <c r="AB10" i="17"/>
  <c r="AC10" i="17"/>
  <c r="AD10" i="17"/>
  <c r="AE10" i="17"/>
  <c r="AF10" i="17"/>
  <c r="AG10" i="17"/>
  <c r="AH10" i="17"/>
  <c r="AI10" i="17"/>
  <c r="AJ10" i="17"/>
  <c r="AB11" i="17"/>
  <c r="AC11" i="17"/>
  <c r="AD11" i="17"/>
  <c r="AE11" i="17"/>
  <c r="AF11" i="17"/>
  <c r="AG11" i="17"/>
  <c r="AH11" i="17"/>
  <c r="AI11" i="17"/>
  <c r="AJ11" i="17"/>
  <c r="AA11" i="17"/>
  <c r="AA10" i="17"/>
  <c r="AA9" i="17"/>
  <c r="AA8" i="17"/>
  <c r="AA7" i="17"/>
  <c r="AB6" i="17"/>
  <c r="AC6" i="17"/>
  <c r="AD6" i="17"/>
  <c r="AE6" i="17"/>
  <c r="AF6" i="17"/>
  <c r="AG6" i="17"/>
  <c r="AH6" i="17"/>
  <c r="AI6" i="17"/>
  <c r="AJ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B4" i="17"/>
  <c r="AC4" i="17"/>
  <c r="AD4" i="17"/>
  <c r="AE4" i="17"/>
  <c r="AF4" i="17"/>
  <c r="AG4" i="17"/>
  <c r="AH4" i="17"/>
  <c r="AI4" i="17"/>
  <c r="AJ4" i="17"/>
  <c r="AB5" i="17"/>
  <c r="AC5" i="17"/>
  <c r="AD5" i="17"/>
  <c r="AF5" i="17"/>
  <c r="AG5" i="17"/>
  <c r="AH5" i="17"/>
  <c r="AI5" i="17"/>
  <c r="AJ5" i="17"/>
  <c r="AA5" i="17"/>
  <c r="AA4" i="17"/>
  <c r="AA3" i="17"/>
  <c r="AA2" i="17"/>
  <c r="K12" i="17"/>
  <c r="J12" i="17"/>
  <c r="I12" i="17"/>
  <c r="G12" i="17"/>
  <c r="Q11" i="17" l="1"/>
  <c r="R11" i="19" s="1"/>
  <c r="Y11" i="17"/>
  <c r="V11" i="19" s="1"/>
  <c r="O11" i="17"/>
  <c r="P11" i="19" s="1"/>
  <c r="P11" i="17" l="1"/>
  <c r="Q11" i="19" s="1"/>
  <c r="N11" i="17"/>
  <c r="O11" i="19" s="1"/>
  <c r="X11" i="17"/>
  <c r="X7" i="17"/>
  <c r="U7" i="19" s="1"/>
  <c r="Y7" i="17"/>
  <c r="V7" i="19" s="1"/>
  <c r="Y10" i="17"/>
  <c r="V10" i="19" s="1"/>
  <c r="X10" i="17"/>
  <c r="U10" i="19" s="1"/>
  <c r="W10" i="19" s="1"/>
  <c r="Q9" i="17"/>
  <c r="R9" i="19" s="1"/>
  <c r="N9" i="17"/>
  <c r="O9" i="19" s="1"/>
  <c r="O9" i="17"/>
  <c r="P9" i="19" s="1"/>
  <c r="P9" i="17"/>
  <c r="Q9" i="19" s="1"/>
  <c r="X6" i="17"/>
  <c r="U6" i="19" s="1"/>
  <c r="Y6" i="17"/>
  <c r="V6" i="19" s="1"/>
  <c r="Y8" i="17"/>
  <c r="V8" i="19" s="1"/>
  <c r="X8" i="17"/>
  <c r="U8" i="19" s="1"/>
  <c r="W8" i="19" s="1"/>
  <c r="W12" i="17"/>
  <c r="O7" i="17"/>
  <c r="P7" i="19" s="1"/>
  <c r="Q7" i="17"/>
  <c r="R7" i="19" s="1"/>
  <c r="P7" i="17"/>
  <c r="Q7" i="19" s="1"/>
  <c r="N7" i="17"/>
  <c r="O7" i="19" s="1"/>
  <c r="N10" i="17"/>
  <c r="O10" i="19" s="1"/>
  <c r="Q10" i="17"/>
  <c r="R10" i="19" s="1"/>
  <c r="P10" i="17"/>
  <c r="Q10" i="19" s="1"/>
  <c r="O10" i="17"/>
  <c r="P10" i="19" s="1"/>
  <c r="Y9" i="17"/>
  <c r="V9" i="19" s="1"/>
  <c r="X9" i="17"/>
  <c r="U9" i="19" s="1"/>
  <c r="P6" i="17"/>
  <c r="Q6" i="19" s="1"/>
  <c r="O6" i="17"/>
  <c r="P6" i="19" s="1"/>
  <c r="Q6" i="17"/>
  <c r="R6" i="19" s="1"/>
  <c r="N6" i="17"/>
  <c r="O6" i="19" s="1"/>
  <c r="P8" i="17"/>
  <c r="Q8" i="19" s="1"/>
  <c r="Q8" i="17"/>
  <c r="R8" i="19" s="1"/>
  <c r="O8" i="17"/>
  <c r="P8" i="19" s="1"/>
  <c r="N8" i="17"/>
  <c r="O8" i="19" s="1"/>
  <c r="Q12" i="19" l="1"/>
  <c r="V12" i="19"/>
  <c r="S9" i="19"/>
  <c r="P12" i="19"/>
  <c r="S10" i="19"/>
  <c r="S7" i="19"/>
  <c r="R12" i="19"/>
  <c r="S11" i="19"/>
  <c r="S6" i="19"/>
  <c r="O12" i="19"/>
  <c r="W6" i="19"/>
  <c r="S8" i="19"/>
  <c r="W9" i="19"/>
  <c r="W7" i="19"/>
  <c r="Z11" i="17"/>
  <c r="U11" i="19"/>
  <c r="W11" i="19" s="1"/>
  <c r="R11" i="17"/>
  <c r="O12" i="17"/>
  <c r="X12" i="17"/>
  <c r="P12" i="17"/>
  <c r="Y12" i="17"/>
  <c r="R8" i="17"/>
  <c r="R6" i="17"/>
  <c r="Z9" i="17"/>
  <c r="R7" i="17"/>
  <c r="Z8" i="17"/>
  <c r="Z10" i="17"/>
  <c r="Q12" i="17"/>
  <c r="R9" i="17"/>
  <c r="R10" i="17"/>
  <c r="Z6" i="17"/>
  <c r="Z7" i="17"/>
  <c r="N12" i="17"/>
  <c r="W12" i="19" l="1"/>
  <c r="U12" i="19"/>
  <c r="S12" i="19"/>
  <c r="R12" i="17"/>
  <c r="Z12" i="17"/>
  <c r="G4" i="15" l="1"/>
  <c r="G14" i="15"/>
  <c r="G13" i="15"/>
  <c r="G12" i="15"/>
  <c r="G11" i="15"/>
  <c r="G10" i="15"/>
  <c r="G9" i="15"/>
  <c r="G8" i="15"/>
  <c r="G7" i="15"/>
  <c r="G6" i="15"/>
  <c r="G5" i="15"/>
  <c r="G15" i="15" l="1"/>
  <c r="K7" i="16"/>
  <c r="K8" i="16"/>
  <c r="K9" i="16"/>
  <c r="K10" i="16"/>
  <c r="K11" i="16"/>
  <c r="K12" i="16"/>
  <c r="K13" i="16"/>
  <c r="K14" i="16"/>
  <c r="K6" i="16"/>
  <c r="H6" i="16" l="1"/>
  <c r="H7" i="16"/>
  <c r="H8" i="16"/>
  <c r="H9" i="16"/>
  <c r="H10" i="16"/>
  <c r="H11" i="16"/>
  <c r="H12" i="16"/>
  <c r="H13" i="16"/>
  <c r="H14" i="16"/>
  <c r="H5" i="16"/>
  <c r="K5" i="16" l="1"/>
  <c r="N4" i="16"/>
  <c r="M4" i="16"/>
  <c r="L4" i="16"/>
  <c r="L13" i="13" l="1"/>
  <c r="L12" i="13"/>
  <c r="L11" i="13"/>
  <c r="L10" i="13"/>
  <c r="L9" i="13"/>
  <c r="L8" i="13"/>
  <c r="L7" i="13"/>
  <c r="L6" i="13"/>
  <c r="L5" i="13"/>
  <c r="B9" i="16" l="1"/>
  <c r="L4" i="13"/>
  <c r="P4" i="13"/>
  <c r="L5" i="16" s="1"/>
  <c r="Q4" i="13"/>
  <c r="M5" i="16" s="1"/>
  <c r="R4" i="13"/>
  <c r="N5" i="16" s="1"/>
  <c r="T4" i="13"/>
  <c r="V4" i="13"/>
  <c r="W4" i="13"/>
  <c r="X4" i="13"/>
  <c r="AA4" i="13"/>
  <c r="O5" i="13"/>
  <c r="O6" i="13"/>
  <c r="O7" i="13"/>
  <c r="O8" i="13"/>
  <c r="O9" i="13"/>
  <c r="O10" i="13"/>
  <c r="O11" i="13"/>
  <c r="O12" i="13"/>
  <c r="O13"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5" i="14" s="1"/>
  <c r="E10" i="14"/>
  <c r="E11" i="14" s="1"/>
  <c r="E13" i="14" l="1"/>
  <c r="E29" i="14"/>
  <c r="E36" i="14"/>
  <c r="E45" i="14"/>
  <c r="E43" i="14"/>
  <c r="E46" i="14"/>
  <c r="AA12" i="13"/>
  <c r="AA13" i="13"/>
  <c r="AA5" i="13"/>
  <c r="AA6" i="13"/>
  <c r="AA7" i="13"/>
  <c r="AA8" i="13"/>
  <c r="AA9" i="13"/>
  <c r="AA10" i="13"/>
  <c r="AA11" i="13"/>
  <c r="X10" i="13" l="1"/>
  <c r="X11" i="13"/>
  <c r="X12" i="13"/>
  <c r="X13" i="13"/>
  <c r="X5" i="13"/>
  <c r="X6" i="13"/>
  <c r="X7" i="13"/>
  <c r="X8" i="13"/>
  <c r="X9" i="13"/>
  <c r="V10" i="13"/>
  <c r="V11" i="13"/>
  <c r="V12" i="13"/>
  <c r="V13" i="13"/>
  <c r="V9" i="13"/>
  <c r="V5" i="13"/>
  <c r="V6" i="13"/>
  <c r="V7" i="13"/>
  <c r="V8" i="13"/>
  <c r="T13" i="13"/>
  <c r="T11" i="13"/>
  <c r="T12" i="13"/>
  <c r="T9" i="13"/>
  <c r="T10" i="13"/>
  <c r="T7" i="13"/>
  <c r="T8" i="13"/>
  <c r="T5" i="13"/>
  <c r="T6" i="13"/>
  <c r="R13" i="13"/>
  <c r="N14" i="16" s="1"/>
  <c r="R9" i="13"/>
  <c r="N10" i="16" s="1"/>
  <c r="R10" i="13"/>
  <c r="N11" i="16" s="1"/>
  <c r="R11" i="13"/>
  <c r="N12" i="16" s="1"/>
  <c r="R12" i="13"/>
  <c r="N13" i="16" s="1"/>
  <c r="R5" i="13"/>
  <c r="N6" i="16" s="1"/>
  <c r="R6" i="13"/>
  <c r="N7" i="16" s="1"/>
  <c r="R7" i="13"/>
  <c r="N8" i="16" s="1"/>
  <c r="R8" i="13"/>
  <c r="N9" i="16" s="1"/>
  <c r="Q13" i="13"/>
  <c r="M14" i="16" s="1"/>
  <c r="Q11" i="13"/>
  <c r="M12" i="16" s="1"/>
  <c r="Q12" i="13"/>
  <c r="M13" i="16" s="1"/>
  <c r="Q9" i="13"/>
  <c r="M10" i="16" s="1"/>
  <c r="Q10" i="13"/>
  <c r="M11" i="16" s="1"/>
  <c r="Q8" i="13"/>
  <c r="M9" i="16" s="1"/>
  <c r="Q7" i="13"/>
  <c r="M8" i="16" s="1"/>
  <c r="Q6" i="13"/>
  <c r="M7" i="16" s="1"/>
  <c r="Q5" i="13"/>
  <c r="M6" i="16" s="1"/>
  <c r="P6" i="13"/>
  <c r="L7" i="16" s="1"/>
  <c r="P13" i="13"/>
  <c r="L14" i="16" s="1"/>
  <c r="P12" i="13"/>
  <c r="L13" i="16" s="1"/>
  <c r="P11" i="13"/>
  <c r="L12" i="16" s="1"/>
  <c r="P5" i="13"/>
  <c r="L6" i="16" s="1"/>
  <c r="P7" i="13"/>
  <c r="L8" i="16" s="1"/>
  <c r="P8" i="13"/>
  <c r="L9" i="16" s="1"/>
  <c r="P9" i="13"/>
  <c r="L10" i="16" s="1"/>
  <c r="P10" i="13"/>
  <c r="L11" i="16" s="1"/>
  <c r="O3" i="13"/>
  <c r="N13" i="13" l="1"/>
  <c r="O14" i="16" s="1"/>
  <c r="N12" i="13"/>
  <c r="O13" i="16" s="1"/>
  <c r="N11" i="13"/>
  <c r="O12" i="16" s="1"/>
  <c r="N10" i="13"/>
  <c r="O11" i="16" s="1"/>
  <c r="N9" i="13"/>
  <c r="O10" i="16" s="1"/>
  <c r="N8" i="13"/>
  <c r="O9" i="16" s="1"/>
  <c r="N7" i="13"/>
  <c r="O8" i="16" s="1"/>
  <c r="N6" i="13"/>
  <c r="O7" i="16" s="1"/>
  <c r="N5" i="13"/>
  <c r="O6" i="16" s="1"/>
  <c r="N4" i="13"/>
  <c r="O5" i="16" s="1"/>
  <c r="M13" i="13"/>
  <c r="M12" i="13"/>
  <c r="M11" i="13"/>
  <c r="M10" i="13"/>
  <c r="M9" i="13"/>
  <c r="M8" i="13"/>
  <c r="M7" i="13"/>
  <c r="M6" i="13"/>
  <c r="M5" i="13"/>
  <c r="M4" i="13"/>
  <c r="F13" i="13" l="1"/>
  <c r="I14" i="16" s="1"/>
  <c r="F12" i="13"/>
  <c r="I13" i="16" s="1"/>
  <c r="F11" i="13"/>
  <c r="I12" i="16" s="1"/>
  <c r="F10" i="13"/>
  <c r="I11" i="16" s="1"/>
  <c r="F9" i="13"/>
  <c r="I10" i="16" s="1"/>
  <c r="F8" i="13"/>
  <c r="I9" i="16" s="1"/>
  <c r="F7" i="13"/>
  <c r="I8" i="16" s="1"/>
  <c r="F6" i="13"/>
  <c r="I7" i="16" s="1"/>
  <c r="F5" i="13"/>
  <c r="I6" i="16" s="1"/>
  <c r="F4" i="13"/>
  <c r="I5" i="16" s="1"/>
  <c r="B4" i="13"/>
  <c r="D5" i="16" s="1"/>
  <c r="F7" i="12" l="1"/>
  <c r="E3" i="19" s="1"/>
  <c r="N121" i="12"/>
  <c r="M121" i="12"/>
  <c r="L121" i="12"/>
  <c r="K121" i="12"/>
  <c r="J121" i="12"/>
  <c r="I121" i="12"/>
  <c r="H121" i="12"/>
  <c r="G121" i="12"/>
  <c r="F121" i="12"/>
  <c r="E121" i="12"/>
  <c r="N108" i="12"/>
  <c r="M108" i="12"/>
  <c r="L108" i="12"/>
  <c r="K108" i="12"/>
  <c r="J108" i="12"/>
  <c r="I108" i="12"/>
  <c r="H108" i="12"/>
  <c r="G108" i="12"/>
  <c r="F108" i="12"/>
  <c r="E108" i="12"/>
  <c r="N95" i="12"/>
  <c r="M95" i="12"/>
  <c r="L95" i="12"/>
  <c r="K95" i="12"/>
  <c r="J95" i="12"/>
  <c r="I95" i="12"/>
  <c r="H95" i="12"/>
  <c r="G95" i="12"/>
  <c r="F95" i="12"/>
  <c r="E95" i="12"/>
  <c r="N82" i="12"/>
  <c r="M82" i="12"/>
  <c r="L82" i="12"/>
  <c r="Q12" i="16" s="1"/>
  <c r="K82" i="12"/>
  <c r="Q11" i="16" s="1"/>
  <c r="J82" i="12"/>
  <c r="Q10" i="16" s="1"/>
  <c r="I82" i="12"/>
  <c r="Q9" i="16" s="1"/>
  <c r="Q8" i="16"/>
  <c r="G82" i="12"/>
  <c r="Q7" i="16" s="1"/>
  <c r="F82" i="12"/>
  <c r="Q6" i="16" s="1"/>
  <c r="E131" i="12"/>
  <c r="N81" i="12"/>
  <c r="M81" i="12"/>
  <c r="L81" i="12"/>
  <c r="K81" i="12"/>
  <c r="J81" i="12"/>
  <c r="I81" i="12"/>
  <c r="H81" i="12"/>
  <c r="G81" i="12"/>
  <c r="F81" i="12"/>
  <c r="N71" i="12"/>
  <c r="M71" i="12"/>
  <c r="L71" i="12"/>
  <c r="K71" i="12"/>
  <c r="J71" i="12"/>
  <c r="I71" i="12"/>
  <c r="H71" i="12"/>
  <c r="G71" i="12"/>
  <c r="F71" i="12"/>
  <c r="B5" i="13" l="1"/>
  <c r="D6" i="16" s="1"/>
  <c r="AB2" i="17"/>
  <c r="N131" i="12"/>
  <c r="Q14" i="16"/>
  <c r="M131" i="12"/>
  <c r="Q13" i="16"/>
  <c r="G7" i="12"/>
  <c r="G131" i="12"/>
  <c r="I131" i="12"/>
  <c r="K131" i="12"/>
  <c r="F131" i="12"/>
  <c r="H131" i="12"/>
  <c r="J131" i="12"/>
  <c r="L131" i="12"/>
  <c r="F60" i="12"/>
  <c r="F62" i="12" s="1"/>
  <c r="H60" i="12"/>
  <c r="H62" i="12" s="1"/>
  <c r="J60" i="12"/>
  <c r="J62" i="12" s="1"/>
  <c r="L60" i="12"/>
  <c r="L62" i="12" s="1"/>
  <c r="N60" i="12"/>
  <c r="N62" i="12" s="1"/>
  <c r="E60" i="12"/>
  <c r="E62" i="12" s="1"/>
  <c r="E132" i="12" s="1"/>
  <c r="G60" i="12"/>
  <c r="G62" i="12" s="1"/>
  <c r="I60" i="12"/>
  <c r="I62" i="12" s="1"/>
  <c r="K60" i="12"/>
  <c r="K62" i="12" s="1"/>
  <c r="M60" i="12"/>
  <c r="M62" i="12" s="1"/>
  <c r="AC2" i="17" l="1"/>
  <c r="F3" i="19"/>
  <c r="P5" i="16"/>
  <c r="M132" i="12"/>
  <c r="P13" i="16"/>
  <c r="I132" i="12"/>
  <c r="P9" i="16"/>
  <c r="N132" i="12"/>
  <c r="P14" i="16"/>
  <c r="J132" i="12"/>
  <c r="P10" i="16"/>
  <c r="F132" i="12"/>
  <c r="P6" i="16"/>
  <c r="K132" i="12"/>
  <c r="P11" i="16"/>
  <c r="G132" i="12"/>
  <c r="P7" i="16"/>
  <c r="L132" i="12"/>
  <c r="P12" i="16"/>
  <c r="H132" i="12"/>
  <c r="P8" i="16"/>
  <c r="H7" i="12"/>
  <c r="B6" i="13"/>
  <c r="D7" i="16" s="1"/>
  <c r="D16" i="15"/>
  <c r="C16" i="15" s="1"/>
  <c r="AD2" i="17" l="1"/>
  <c r="G3" i="19"/>
  <c r="B7" i="13"/>
  <c r="D8" i="16" s="1"/>
  <c r="I7" i="12"/>
  <c r="AE2" i="17" l="1"/>
  <c r="H3" i="19"/>
  <c r="J7" i="12"/>
  <c r="B8" i="13"/>
  <c r="D9" i="16" s="1"/>
  <c r="W10" i="13"/>
  <c r="W11" i="13"/>
  <c r="W12" i="13"/>
  <c r="W13" i="13"/>
  <c r="W5" i="13"/>
  <c r="W6" i="13"/>
  <c r="W7" i="13"/>
  <c r="W8" i="13"/>
  <c r="W9" i="13"/>
  <c r="AF2" i="17" l="1"/>
  <c r="I3" i="19"/>
  <c r="K7" i="12"/>
  <c r="B9" i="13"/>
  <c r="D10" i="16" s="1"/>
  <c r="K12" i="13"/>
  <c r="K13" i="13"/>
  <c r="K5" i="13"/>
  <c r="K6" i="13"/>
  <c r="K7" i="13"/>
  <c r="K8" i="13"/>
  <c r="K9" i="13"/>
  <c r="K10" i="13"/>
  <c r="K11" i="13"/>
  <c r="K4" i="13"/>
  <c r="J11" i="13"/>
  <c r="J12" i="13"/>
  <c r="J13" i="13"/>
  <c r="J5" i="13"/>
  <c r="J6" i="13"/>
  <c r="J7" i="13"/>
  <c r="J8" i="13"/>
  <c r="J9" i="13"/>
  <c r="J10" i="13"/>
  <c r="J4" i="13"/>
  <c r="I11" i="13"/>
  <c r="I12" i="13"/>
  <c r="I13" i="13"/>
  <c r="I5" i="13"/>
  <c r="I6" i="13"/>
  <c r="I7" i="13"/>
  <c r="I8" i="13"/>
  <c r="I9" i="13"/>
  <c r="I10" i="13"/>
  <c r="I4" i="13"/>
  <c r="H10" i="13"/>
  <c r="H11" i="13"/>
  <c r="H12" i="13"/>
  <c r="H13" i="13"/>
  <c r="H5" i="13"/>
  <c r="H6" i="13"/>
  <c r="H7" i="13"/>
  <c r="H8" i="13"/>
  <c r="H9" i="13"/>
  <c r="H4" i="13"/>
  <c r="G10" i="13"/>
  <c r="G11" i="13"/>
  <c r="G12" i="13"/>
  <c r="G13" i="13"/>
  <c r="G5" i="13"/>
  <c r="G6" i="13"/>
  <c r="G7" i="13"/>
  <c r="G8" i="13"/>
  <c r="G9" i="13"/>
  <c r="G4" i="13"/>
  <c r="E13" i="13"/>
  <c r="G14" i="16" s="1"/>
  <c r="E12" i="13"/>
  <c r="G13" i="16" s="1"/>
  <c r="E11" i="13"/>
  <c r="G12" i="16" s="1"/>
  <c r="E10" i="13"/>
  <c r="G11" i="16" s="1"/>
  <c r="E9" i="13"/>
  <c r="G10" i="16" s="1"/>
  <c r="E8" i="13"/>
  <c r="G9" i="16" s="1"/>
  <c r="E7" i="13"/>
  <c r="G8" i="16" s="1"/>
  <c r="E6" i="13"/>
  <c r="E5" i="13"/>
  <c r="E4" i="13"/>
  <c r="D13" i="13"/>
  <c r="F14" i="16" s="1"/>
  <c r="D12" i="13"/>
  <c r="F13" i="16" s="1"/>
  <c r="D11" i="13"/>
  <c r="F12" i="16" s="1"/>
  <c r="D10" i="13"/>
  <c r="F11" i="16" s="1"/>
  <c r="D4" i="13"/>
  <c r="F5" i="16" s="1"/>
  <c r="D9" i="13"/>
  <c r="F10" i="16" s="1"/>
  <c r="D8" i="13"/>
  <c r="F9" i="16" s="1"/>
  <c r="D7" i="13"/>
  <c r="F8" i="16" s="1"/>
  <c r="D6" i="13"/>
  <c r="F7" i="16" s="1"/>
  <c r="D5" i="13"/>
  <c r="F6" i="16" s="1"/>
  <c r="C4" i="13"/>
  <c r="E5" i="16" s="1"/>
  <c r="C13" i="13"/>
  <c r="E14" i="16" s="1"/>
  <c r="C12" i="13"/>
  <c r="E13" i="16" s="1"/>
  <c r="C11" i="13"/>
  <c r="E12" i="16" s="1"/>
  <c r="C10" i="13"/>
  <c r="E11" i="16" s="1"/>
  <c r="C9" i="13"/>
  <c r="E10" i="16" s="1"/>
  <c r="C8" i="13"/>
  <c r="E9" i="16" s="1"/>
  <c r="C7" i="13"/>
  <c r="E8" i="16" s="1"/>
  <c r="C6" i="13"/>
  <c r="E7" i="16" s="1"/>
  <c r="C5" i="13"/>
  <c r="E6" i="16" s="1"/>
  <c r="AG2" i="17" l="1"/>
  <c r="J3" i="19"/>
  <c r="G7" i="16"/>
  <c r="G6" i="16"/>
  <c r="G5" i="16"/>
  <c r="L7" i="12"/>
  <c r="B10" i="13"/>
  <c r="D11" i="16" s="1"/>
  <c r="AH2" i="17" l="1"/>
  <c r="K3" i="19"/>
  <c r="M7" i="12"/>
  <c r="B11" i="13"/>
  <c r="D12" i="16" s="1"/>
  <c r="AI2" i="17" l="1"/>
  <c r="L3" i="19"/>
  <c r="N7" i="12"/>
  <c r="B12" i="13"/>
  <c r="D13" i="16" s="1"/>
  <c r="AJ2" i="17" l="1"/>
  <c r="M3" i="19"/>
  <c r="B13" i="13"/>
  <c r="D14" i="16" s="1"/>
  <c r="E24" i="12" l="1"/>
  <c r="F24" i="12" l="1"/>
  <c r="G24" i="12"/>
  <c r="H24" i="12"/>
  <c r="I24" i="12"/>
  <c r="J24" i="12"/>
  <c r="K24" i="12"/>
  <c r="L24" i="12"/>
  <c r="M24" i="12"/>
  <c r="N24" i="12"/>
  <c r="H27" i="12"/>
  <c r="N25" i="12" l="1"/>
  <c r="N27" i="12" l="1"/>
  <c r="M27" i="12"/>
  <c r="M25" i="12"/>
  <c r="E27" i="12" l="1"/>
  <c r="F27" i="12" l="1"/>
  <c r="G27" i="12"/>
  <c r="I27" i="12"/>
  <c r="J27" i="12"/>
  <c r="K27" i="12"/>
  <c r="L27" i="12"/>
  <c r="F25" i="12"/>
  <c r="G25" i="12"/>
  <c r="H25" i="12"/>
  <c r="I25" i="12"/>
  <c r="J25" i="12"/>
  <c r="K25" i="12"/>
  <c r="L25" i="12"/>
  <c r="E17" i="14" l="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<sst xmlns="http://schemas.openxmlformats.org/spreadsheetml/2006/main" count="1025" uniqueCount="511">
  <si>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</si>
  <si>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</si>
  <si>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</si>
  <si>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</si>
  <si>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</si>
  <si>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</si>
  <si>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</si>
  <si>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</si>
  <si>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</si>
  <si>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</si>
  <si>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</si>
  <si>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</si>
  <si>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</si>
  <si>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</si>
  <si>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</si>
  <si>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</si>
  <si>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</si>
  <si>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</si>
  <si>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</si>
  <si>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</si>
  <si>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</si>
  <si>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</si>
  <si>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</si>
  <si>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</si>
  <si>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</si>
  <si>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</si>
  <si>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</si>
  <si>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</si>
  <si>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</si>
  <si>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</si>
  <si>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</si>
  <si>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</si>
  <si>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</si>
  <si>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</si>
  <si>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</si>
  <si>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</si>
  <si>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</si>
  <si>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</si>
  <si>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</si>
  <si>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</si>
  <si>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</si>
  <si>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</si>
  <si>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</si>
  <si>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</si>
  <si>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</si>
  <si>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</si>
  <si>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</si>
  <si>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</si>
  <si>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</si>
  <si>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</si>
  <si>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</si>
  <si>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</si>
  <si>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</si>
  <si>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</si>
  <si>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</si>
  <si>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</si>
  <si>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</si>
  <si>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</si>
  <si>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</si>
  <si>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</si>
  <si>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</si>
  <si>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</si>
  <si>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</si>
  <si>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</si>
  <si>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</si>
  <si>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</si>
  <si>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</si>
  <si>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</si>
  <si>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</si>
  <si>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</si>
  <si>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</si>
  <si>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</si>
  <si>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</si>
  <si>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</si>
  <si>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</si>
  <si>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</si>
  <si>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</si>
  <si>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</si>
  <si>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</si>
  <si>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</si>
  <si>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</si>
  <si>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</si>
  <si>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</si>
  <si>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</si>
  <si>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</si>
  <si>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</si>
  <si>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</si>
  <si>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</si>
  <si>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</si>
  <si>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</si>
  <si>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</si>
  <si>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</si>
  <si>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</si>
  <si>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</si>
  <si>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</si>
  <si>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</si>
  <si>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</si>
  <si>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</si>
  <si>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</si>
  <si>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</si>
  <si>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</si>
  <si>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</si>
  <si>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</si>
  <si>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</si>
  <si>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</si>
  <si>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</si>
  <si>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</si>
  <si>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</si>
  <si>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</si>
  <si>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</si>
  <si>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</si>
  <si>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</si>
  <si>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</si>
  <si>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</si>
  <si>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</si>
  <si>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</si>
  <si>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</si>
  <si>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</si>
  <si>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</si>
  <si>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</si>
  <si>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</si>
  <si>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</si>
  <si>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</si>
  <si>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</si>
  <si>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</si>
  <si>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</si>
  <si>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</si>
  <si>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</si>
  <si>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</si>
  <si>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</si>
  <si>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</si>
  <si>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</si>
  <si>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</si>
  <si>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</si>
  <si>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</si>
  <si>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</si>
  <si>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</si>
  <si>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</si>
  <si>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</si>
  <si>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</si>
  <si>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</si>
  <si>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</si>
  <si>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</si>
  <si>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</si>
  <si>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</si>
  <si>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</si>
  <si>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</si>
  <si>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</si>
  <si>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</si>
  <si>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</si>
  <si>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</si>
  <si>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</si>
  <si>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</si>
  <si>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</si>
  <si>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</si>
  <si>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</si>
  <si>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</si>
  <si>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</si>
  <si>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</si>
  <si>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</si>
  <si>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</si>
  <si>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</si>
  <si>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</si>
  <si>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</si>
  <si>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</si>
  <si>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</si>
  <si>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</si>
  <si>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</si>
  <si>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</si>
  <si>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</si>
  <si>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</si>
  <si>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</si>
  <si>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</si>
  <si>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</si>
  <si>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</si>
  <si>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</si>
  <si>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</si>
  <si>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</si>
  <si>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</si>
  <si>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</si>
  <si>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</si>
  <si>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</si>
  <si>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</si>
  <si>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</si>
  <si>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</si>
  <si>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</si>
  <si>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</si>
  <si>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</si>
  <si>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</si>
  <si>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</si>
  <si>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</si>
  <si>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</si>
  <si>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</si>
  <si>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</si>
  <si>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</si>
  <si>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</si>
  <si>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</si>
  <si>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</si>
  <si>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</si>
  <si>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</si>
  <si>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</si>
  <si>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</si>
  <si>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</si>
  <si>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</si>
  <si>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</si>
  <si>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</si>
  <si>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</si>
  <si>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</si>
  <si>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</si>
  <si>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</si>
  <si>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</si>
  <si>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</si>
  <si>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</si>
  <si>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</si>
  <si>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</si>
  <si>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</si>
  <si>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</si>
  <si>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</si>
  <si>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</si>
  <si>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</si>
  <si>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</si>
  <si>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</si>
  <si>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</si>
  <si>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</si>
  <si>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</si>
  <si>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</si>
  <si>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</si>
  <si>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</si>
  <si>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</si>
  <si>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</si>
  <si>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</si>
  <si>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</si>
  <si>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</si>
  <si>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</si>
  <si>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</si>
  <si>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</si>
  <si>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</si>
  <si>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</si>
  <si>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</si>
  <si>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</si>
  <si>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</si>
  <si>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</si>
  <si>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</si>
  <si>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</si>
  <si>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</si>
  <si>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</si>
  <si>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17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</si>
  <si>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</si>
  <si>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</si>
  <si>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</si>
  <si>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</si>
  <si>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</si>
  <si>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</si>
  <si>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</si>
  <si>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</si>
  <si>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</si>
  <si>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</si>
  <si>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</si>
  <si>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</si>
  <si>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</si>
  <si>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</si>
  <si>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</si>
  <si>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</si>
  <si>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</si>
  <si>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</si>
  <si>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</si>
  <si>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</si>
  <si>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</si>
  <si>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</si>
  <si>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</si>
  <si>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</si>
  <si>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</si>
  <si>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</si>
  <si>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</si>
  <si>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</si>
  <si>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</si>
  <si>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</si>
  <si>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</si>
  <si>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</si>
  <si>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</si>
  <si>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</si>
  <si>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</si>
  <si>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</si>
  <si>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</si>
  <si>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</si>
  <si>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</si>
  <si>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</si>
  <si>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</si>
  <si>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</si>
  <si>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</si>
  <si>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</si>
  <si>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</si>
  <si>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</si>
  <si>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</si>
  <si>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</si>
  <si>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</si>
  <si>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</si>
  <si>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</si>
  <si>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</si>
  <si>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</si>
  <si>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</si>
  <si>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</si>
  <si>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</si>
  <si>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</si>
  <si>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</si>
  <si>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</si>
  <si>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</si>
  <si>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</si>
  <si>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</si>
  <si>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</si>
  <si>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</si>
  <si>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</si>
  <si>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</si>
  <si>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</si>
  <si>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</si>
  <si>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</si>
  <si>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</si>
  <si>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</si>
  <si>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</si>
  <si>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</si>
  <si>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</si>
  <si>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</si>
  <si>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</si>
  <si>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</si>
  <si>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</si>
  <si>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</si>
  <si>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</si>
  <si>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</si>
  <si>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</si>
  <si>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</si>
  <si>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</si>
  <si>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</si>
  <si>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</si>
  <si>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</si>
  <si>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</si>
  <si>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</si>
  <si>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</si>
  <si>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</si>
  <si>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</si>
  <si>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</si>
  <si>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</si>
  <si>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</si>
  <si>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</si>
  <si>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</si>
  <si>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</si>
  <si>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</si>
  <si>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</si>
  <si>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</si>
  <si>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</si>
  <si>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</si>
  <si>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</si>
  <si>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</si>
  <si>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</si>
  <si>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</si>
  <si>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</si>
  <si>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</si>
  <si>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</si>
  <si>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</si>
  <si>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</si>
  <si>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</si>
  <si>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</si>
  <si>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</si>
  <si>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</si>
  <si>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</si>
  <si>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</si>
  <si>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</si>
  <si>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</si>
  <si>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</si>
  <si>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</si>
  <si>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</si>
  <si>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</si>
  <si>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</si>
  <si>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</si>
  <si>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</si>
  <si>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</si>
  <si>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</si>
  <si>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</si>
  <si>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</si>
  <si>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</si>
  <si>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</si>
  <si>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</si>
  <si>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</si>
  <si>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</si>
  <si>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</si>
  <si>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</si>
  <si>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</si>
  <si>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</si>
  <si>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</si>
  <si>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</si>
  <si>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</si>
  <si>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</si>
  <si>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</si>
  <si>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</si>
  <si>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</si>
  <si>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</si>
  <si>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</si>
  <si>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</si>
  <si>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</si>
  <si>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</si>
  <si>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</si>
  <si>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</si>
  <si>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</si>
  <si>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</si>
  <si>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</si>
  <si>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</si>
  <si>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</si>
  <si>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</si>
  <si>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</si>
  <si>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</si>
  <si>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</si>
  <si>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</si>
  <si>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</si>
  <si>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</si>
  <si>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</si>
  <si>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</si>
  <si>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</si>
  <si>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</si>
  <si>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</si>
  <si>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</si>
  <si>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</si>
  <si>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</si>
  <si>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</si>
  <si>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</si>
  <si>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</si>
  <si>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</si>
  <si>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</si>
  <si>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</si>
  <si>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1395/04/30</t>
  </si>
  <si>
    <t>کردستان</t>
  </si>
  <si>
    <t>سنندج</t>
  </si>
  <si>
    <t>قار</t>
  </si>
  <si>
    <t>گولان</t>
  </si>
  <si>
    <t>چيا</t>
  </si>
  <si>
    <t>مرجان</t>
  </si>
  <si>
    <t>رمضان</t>
  </si>
  <si>
    <t xml:space="preserve"> رز</t>
  </si>
  <si>
    <t>امانت</t>
  </si>
  <si>
    <t>ياس</t>
  </si>
  <si>
    <t>فعال</t>
  </si>
  <si>
    <t>کرده وان اسدی</t>
  </si>
  <si>
    <t>کلینیک مهر</t>
  </si>
  <si>
    <t>آزاده امجدی</t>
  </si>
  <si>
    <t>93/1/27</t>
  </si>
  <si>
    <t>93/2/24</t>
  </si>
  <si>
    <t>93/5/15</t>
  </si>
  <si>
    <t>پ12</t>
  </si>
  <si>
    <t xml:space="preserve">شهین باقری </t>
  </si>
  <si>
    <t>فاطمه كاظمي</t>
  </si>
  <si>
    <t>ثريا محمدي</t>
  </si>
  <si>
    <t>رضيه رشيدي</t>
  </si>
  <si>
    <t>مريم قبادي</t>
  </si>
  <si>
    <t>فرناز گل محمدي</t>
  </si>
  <si>
    <t>شايسته لطفي</t>
  </si>
  <si>
    <t xml:space="preserve">لیلا پرتاب </t>
  </si>
  <si>
    <t>بهار كاظمي</t>
  </si>
  <si>
    <t>حصيبه محمدي</t>
  </si>
  <si>
    <t>بهيه فرجي</t>
  </si>
  <si>
    <t>نوش افرين ساعدي</t>
  </si>
  <si>
    <t>سحر رشيدي</t>
  </si>
  <si>
    <t>خديجه رشيدي</t>
  </si>
  <si>
    <t xml:space="preserve">سیران </t>
  </si>
  <si>
    <t>رو‍‍ژين فرجي</t>
  </si>
  <si>
    <t>صبري محمدي</t>
  </si>
  <si>
    <t>شعله كيخسروي</t>
  </si>
  <si>
    <t xml:space="preserve">فراست احمد باغبانی </t>
  </si>
  <si>
    <t>سوما ساعدي</t>
  </si>
  <si>
    <t>نظيره صلواتي</t>
  </si>
  <si>
    <t xml:space="preserve"> .</t>
  </si>
  <si>
    <t>قوي</t>
  </si>
  <si>
    <t>متوسط</t>
  </si>
  <si>
    <t>كم</t>
  </si>
  <si>
    <t>ندارد</t>
  </si>
  <si>
    <t>دارد</t>
  </si>
  <si>
    <t>تشکیل نشده</t>
  </si>
  <si>
    <t>ماهانه</t>
  </si>
  <si>
    <t>مرتب</t>
  </si>
  <si>
    <t>انجام شده</t>
  </si>
  <si>
    <t xml:space="preserve">انجام شده </t>
  </si>
  <si>
    <t>انجام شد</t>
  </si>
  <si>
    <t xml:space="preserve"> انجام شد</t>
  </si>
  <si>
    <t>داراي اشباه كم</t>
  </si>
  <si>
    <t>بي نقص</t>
  </si>
  <si>
    <t xml:space="preserve"> داراي اشتباه كم</t>
  </si>
  <si>
    <t>دارای اشباه کم</t>
  </si>
  <si>
    <t>1393/11/19</t>
  </si>
  <si>
    <t>1394/8/1</t>
  </si>
  <si>
    <t>كارخانه شير</t>
  </si>
  <si>
    <t>سراب قامیش</t>
  </si>
  <si>
    <t>عیسی آباد</t>
  </si>
  <si>
    <t>ویدا رشیدی</t>
  </si>
  <si>
    <t>دریافت وام بانکی</t>
  </si>
  <si>
    <t>1393/03/10</t>
  </si>
  <si>
    <t>1393/11/01</t>
  </si>
  <si>
    <t>1394/05/17</t>
  </si>
  <si>
    <t>1394/02/15</t>
  </si>
  <si>
    <t>1394/02/08</t>
  </si>
  <si>
    <t>1394/03/28</t>
  </si>
  <si>
    <t>1394/03/12</t>
  </si>
  <si>
    <t>1394/03/27</t>
  </si>
  <si>
    <t>شعبه</t>
  </si>
  <si>
    <t>کارخانه شیر</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</si>
  <si>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</si>
  <si>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</si>
  <si>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</si>
  <si>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</si>
  <si>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</si>
  <si>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</si>
  <si>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شویشه</t>
  </si>
  <si>
    <t xml:space="preserve"> خیابان حسن اباد</t>
  </si>
  <si>
    <t>خیابان حسن اباد</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</si>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</sst>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77">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33" fillId="0" borderId="46" xfId="0" applyNumberFormat="1" applyFont="1" applyFill="1" applyBorder="1" applyAlignment="1">
      <alignment horizontal="center" vertical="center" wrapText="1"/>
    </xf>
    <xf numFmtId="3" fontId="9" fillId="5" borderId="4" xfId="0" applyNumberFormat="1" applyFont="1" applyFill="1" applyBorder="1" applyAlignment="1" applyProtection="1">
      <alignment horizontal="justify" vertical="center" wrapText="1" readingOrder="2"/>
      <protection locked="0"/>
    </xf>
    <xf numFmtId="3" fontId="9" fillId="5" borderId="11" xfId="0" applyNumberFormat="1" applyFont="1" applyFill="1" applyBorder="1" applyAlignment="1" applyProtection="1">
      <alignment horizontal="center" vertical="center" wrapText="1" readingOrder="2"/>
    </xf>
    <xf numFmtId="3" fontId="9" fillId="5" borderId="4" xfId="0" applyNumberFormat="1" applyFont="1" applyFill="1" applyBorder="1" applyAlignment="1" applyProtection="1">
      <alignment horizontal="center" vertical="center" wrapText="1" readingOrder="2"/>
    </xf>
    <xf numFmtId="3" fontId="9" fillId="5" borderId="10" xfId="0" applyNumberFormat="1" applyFont="1" applyFill="1" applyBorder="1" applyAlignment="1" applyProtection="1">
      <alignment horizontal="center" vertical="center" wrapText="1" readingOrder="2"/>
    </xf>
    <xf numFmtId="3" fontId="9" fillId="5" borderId="5" xfId="0" applyNumberFormat="1" applyFont="1" applyFill="1" applyBorder="1" applyAlignment="1" applyProtection="1">
      <alignment horizontal="center" vertical="center" wrapText="1" readingOrder="2"/>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0" fontId="23" fillId="13" borderId="1" xfId="0" applyFont="1" applyFill="1" applyBorder="1" applyAlignment="1">
      <alignment horizontal="center"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40"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8" zoomScale="120" zoomScaleNormal="120" workbookViewId="0">
      <selection activeCell="E8" sqref="E8:U8"/>
    </sheetView>
  </sheetViews>
  <sheetFormatPr defaultRowHeight="17.25" x14ac:dyDescent="0.4"/>
  <cols>
    <col min="1" max="1" width="9.140625" style="364"/>
    <col min="2" max="2" width="7.28515625" style="364" customWidth="1"/>
    <col min="3" max="3" width="6.85546875" style="364" customWidth="1"/>
    <col min="4" max="4" width="35.28515625" style="364" customWidth="1"/>
    <col min="5" max="16384" width="9.140625" style="364"/>
  </cols>
  <sheetData>
    <row r="1" spans="2:21" ht="18" thickBot="1" x14ac:dyDescent="0.45"/>
    <row r="2" spans="2:21" ht="18.75" thickBot="1" x14ac:dyDescent="0.45">
      <c r="B2" s="507" t="s">
        <v>296</v>
      </c>
      <c r="C2" s="506"/>
      <c r="D2" s="365" t="s">
        <v>297</v>
      </c>
      <c r="E2" s="505" t="s">
        <v>298</v>
      </c>
      <c r="F2" s="505"/>
      <c r="G2" s="505"/>
      <c r="H2" s="505"/>
      <c r="I2" s="505"/>
      <c r="J2" s="505"/>
      <c r="K2" s="505"/>
      <c r="L2" s="505"/>
      <c r="M2" s="505"/>
      <c r="N2" s="505"/>
      <c r="O2" s="505"/>
      <c r="P2" s="505"/>
      <c r="Q2" s="505"/>
      <c r="R2" s="505"/>
      <c r="S2" s="505"/>
      <c r="T2" s="505"/>
      <c r="U2" s="506"/>
    </row>
    <row r="3" spans="2:21" ht="18" thickBot="1" x14ac:dyDescent="0.45">
      <c r="B3" s="497" t="s">
        <v>14</v>
      </c>
      <c r="C3" s="498"/>
      <c r="D3" s="353" t="s">
        <v>56</v>
      </c>
      <c r="E3" s="529" t="s">
        <v>302</v>
      </c>
      <c r="F3" s="530"/>
      <c r="G3" s="530"/>
      <c r="H3" s="530"/>
      <c r="I3" s="530"/>
      <c r="J3" s="530"/>
      <c r="K3" s="530"/>
      <c r="L3" s="530"/>
      <c r="M3" s="530"/>
      <c r="N3" s="530"/>
      <c r="O3" s="530"/>
      <c r="P3" s="530"/>
      <c r="Q3" s="530"/>
      <c r="R3" s="530"/>
      <c r="S3" s="530"/>
      <c r="T3" s="530"/>
      <c r="U3" s="531"/>
    </row>
    <row r="4" spans="2:21" ht="18" thickBot="1" x14ac:dyDescent="0.45">
      <c r="B4" s="497"/>
      <c r="C4" s="498"/>
      <c r="D4" s="354" t="s">
        <v>59</v>
      </c>
      <c r="E4" s="532" t="s">
        <v>301</v>
      </c>
      <c r="F4" s="533"/>
      <c r="G4" s="533"/>
      <c r="H4" s="533"/>
      <c r="I4" s="533"/>
      <c r="J4" s="533"/>
      <c r="K4" s="533"/>
      <c r="L4" s="533"/>
      <c r="M4" s="533"/>
      <c r="N4" s="533"/>
      <c r="O4" s="533"/>
      <c r="P4" s="533"/>
      <c r="Q4" s="533"/>
      <c r="R4" s="533"/>
      <c r="S4" s="533"/>
      <c r="T4" s="533"/>
      <c r="U4" s="534"/>
    </row>
    <row r="5" spans="2:21" ht="18" thickBot="1" x14ac:dyDescent="0.45">
      <c r="B5" s="497"/>
      <c r="C5" s="498"/>
      <c r="D5" s="353" t="s">
        <v>60</v>
      </c>
      <c r="E5" s="529" t="s">
        <v>300</v>
      </c>
      <c r="F5" s="530"/>
      <c r="G5" s="530"/>
      <c r="H5" s="530"/>
      <c r="I5" s="530"/>
      <c r="J5" s="530"/>
      <c r="K5" s="530"/>
      <c r="L5" s="530"/>
      <c r="M5" s="530"/>
      <c r="N5" s="530"/>
      <c r="O5" s="530"/>
      <c r="P5" s="530"/>
      <c r="Q5" s="530"/>
      <c r="R5" s="530"/>
      <c r="S5" s="530"/>
      <c r="T5" s="530"/>
      <c r="U5" s="531"/>
    </row>
    <row r="6" spans="2:21" ht="18" thickBot="1" x14ac:dyDescent="0.45">
      <c r="B6" s="497"/>
      <c r="C6" s="498"/>
      <c r="D6" s="354" t="s">
        <v>33</v>
      </c>
      <c r="E6" s="532" t="s">
        <v>299</v>
      </c>
      <c r="F6" s="533"/>
      <c r="G6" s="533"/>
      <c r="H6" s="533"/>
      <c r="I6" s="533"/>
      <c r="J6" s="533"/>
      <c r="K6" s="533"/>
      <c r="L6" s="533"/>
      <c r="M6" s="533"/>
      <c r="N6" s="533"/>
      <c r="O6" s="533"/>
      <c r="P6" s="533"/>
      <c r="Q6" s="533"/>
      <c r="R6" s="533"/>
      <c r="S6" s="533"/>
      <c r="T6" s="533"/>
      <c r="U6" s="534"/>
    </row>
    <row r="7" spans="2:21" ht="18" thickBot="1" x14ac:dyDescent="0.45">
      <c r="B7" s="497"/>
      <c r="C7" s="498"/>
      <c r="D7" s="353" t="s">
        <v>9</v>
      </c>
      <c r="E7" s="529" t="s">
        <v>303</v>
      </c>
      <c r="F7" s="530"/>
      <c r="G7" s="530"/>
      <c r="H7" s="530"/>
      <c r="I7" s="530"/>
      <c r="J7" s="530"/>
      <c r="K7" s="530"/>
      <c r="L7" s="530"/>
      <c r="M7" s="530"/>
      <c r="N7" s="530"/>
      <c r="O7" s="530"/>
      <c r="P7" s="530"/>
      <c r="Q7" s="530"/>
      <c r="R7" s="530"/>
      <c r="S7" s="530"/>
      <c r="T7" s="530"/>
      <c r="U7" s="531"/>
    </row>
    <row r="8" spans="2:21" ht="18" thickBot="1" x14ac:dyDescent="0.45">
      <c r="B8" s="497"/>
      <c r="C8" s="498"/>
      <c r="D8" s="354" t="s">
        <v>22</v>
      </c>
      <c r="E8" s="532" t="s">
        <v>304</v>
      </c>
      <c r="F8" s="533"/>
      <c r="G8" s="533"/>
      <c r="H8" s="533"/>
      <c r="I8" s="533"/>
      <c r="J8" s="533"/>
      <c r="K8" s="533"/>
      <c r="L8" s="533"/>
      <c r="M8" s="533"/>
      <c r="N8" s="533"/>
      <c r="O8" s="533"/>
      <c r="P8" s="533"/>
      <c r="Q8" s="533"/>
      <c r="R8" s="533"/>
      <c r="S8" s="533"/>
      <c r="T8" s="533"/>
      <c r="U8" s="534"/>
    </row>
    <row r="9" spans="2:21" ht="29.25" thickBot="1" x14ac:dyDescent="0.45">
      <c r="B9" s="497"/>
      <c r="C9" s="498"/>
      <c r="D9" s="353" t="s">
        <v>281</v>
      </c>
      <c r="E9" s="529" t="s">
        <v>305</v>
      </c>
      <c r="F9" s="530"/>
      <c r="G9" s="530"/>
      <c r="H9" s="530"/>
      <c r="I9" s="530"/>
      <c r="J9" s="530"/>
      <c r="K9" s="530"/>
      <c r="L9" s="530"/>
      <c r="M9" s="530"/>
      <c r="N9" s="530"/>
      <c r="O9" s="530"/>
      <c r="P9" s="530"/>
      <c r="Q9" s="530"/>
      <c r="R9" s="530"/>
      <c r="S9" s="530"/>
      <c r="T9" s="530"/>
      <c r="U9" s="531"/>
    </row>
    <row r="10" spans="2:21" ht="18" thickBot="1" x14ac:dyDescent="0.45">
      <c r="B10" s="497"/>
      <c r="C10" s="498"/>
      <c r="D10" s="354" t="s">
        <v>51</v>
      </c>
      <c r="E10" s="511" t="s">
        <v>306</v>
      </c>
      <c r="F10" s="512"/>
      <c r="G10" s="512"/>
      <c r="H10" s="512"/>
      <c r="I10" s="512"/>
      <c r="J10" s="512"/>
      <c r="K10" s="512"/>
      <c r="L10" s="512"/>
      <c r="M10" s="512"/>
      <c r="N10" s="512"/>
      <c r="O10" s="512"/>
      <c r="P10" s="512"/>
      <c r="Q10" s="512"/>
      <c r="R10" s="512"/>
      <c r="S10" s="512"/>
      <c r="T10" s="512"/>
      <c r="U10" s="513"/>
    </row>
    <row r="11" spans="2:21" ht="18" thickBot="1" x14ac:dyDescent="0.45">
      <c r="B11" s="497"/>
      <c r="C11" s="498"/>
      <c r="D11" s="353" t="s">
        <v>52</v>
      </c>
      <c r="E11" s="508" t="s">
        <v>307</v>
      </c>
      <c r="F11" s="509"/>
      <c r="G11" s="509"/>
      <c r="H11" s="509"/>
      <c r="I11" s="509"/>
      <c r="J11" s="509"/>
      <c r="K11" s="509"/>
      <c r="L11" s="509"/>
      <c r="M11" s="509"/>
      <c r="N11" s="509"/>
      <c r="O11" s="509"/>
      <c r="P11" s="509"/>
      <c r="Q11" s="509"/>
      <c r="R11" s="509"/>
      <c r="S11" s="509"/>
      <c r="T11" s="509"/>
      <c r="U11" s="510"/>
    </row>
    <row r="12" spans="2:21" ht="18" thickBot="1" x14ac:dyDescent="0.45">
      <c r="B12" s="497"/>
      <c r="C12" s="498"/>
      <c r="D12" s="354" t="s">
        <v>219</v>
      </c>
      <c r="E12" s="511" t="s">
        <v>308</v>
      </c>
      <c r="F12" s="512"/>
      <c r="G12" s="512"/>
      <c r="H12" s="512"/>
      <c r="I12" s="512"/>
      <c r="J12" s="512"/>
      <c r="K12" s="512"/>
      <c r="L12" s="512"/>
      <c r="M12" s="512"/>
      <c r="N12" s="512"/>
      <c r="O12" s="512"/>
      <c r="P12" s="512"/>
      <c r="Q12" s="512"/>
      <c r="R12" s="512"/>
      <c r="S12" s="512"/>
      <c r="T12" s="512"/>
      <c r="U12" s="513"/>
    </row>
    <row r="13" spans="2:21" ht="18" thickBot="1" x14ac:dyDescent="0.45">
      <c r="B13" s="497"/>
      <c r="C13" s="498"/>
      <c r="D13" s="386" t="s">
        <v>412</v>
      </c>
      <c r="E13" s="532" t="s">
        <v>415</v>
      </c>
      <c r="F13" s="533"/>
      <c r="G13" s="533"/>
      <c r="H13" s="533"/>
      <c r="I13" s="533"/>
      <c r="J13" s="533"/>
      <c r="K13" s="533"/>
      <c r="L13" s="533"/>
      <c r="M13" s="533"/>
      <c r="N13" s="533"/>
      <c r="O13" s="533"/>
      <c r="P13" s="533"/>
      <c r="Q13" s="533"/>
      <c r="R13" s="533"/>
      <c r="S13" s="533"/>
      <c r="T13" s="533"/>
      <c r="U13" s="534"/>
    </row>
    <row r="14" spans="2:21" ht="18" thickBot="1" x14ac:dyDescent="0.45">
      <c r="B14" s="497"/>
      <c r="C14" s="498"/>
      <c r="D14" s="353" t="s">
        <v>10</v>
      </c>
      <c r="E14" s="508" t="s">
        <v>309</v>
      </c>
      <c r="F14" s="509"/>
      <c r="G14" s="509"/>
      <c r="H14" s="509"/>
      <c r="I14" s="509"/>
      <c r="J14" s="509"/>
      <c r="K14" s="509"/>
      <c r="L14" s="509"/>
      <c r="M14" s="509"/>
      <c r="N14" s="509"/>
      <c r="O14" s="509"/>
      <c r="P14" s="509"/>
      <c r="Q14" s="509"/>
      <c r="R14" s="509"/>
      <c r="S14" s="509"/>
      <c r="T14" s="509"/>
      <c r="U14" s="510"/>
    </row>
    <row r="15" spans="2:21" ht="18" thickBot="1" x14ac:dyDescent="0.45">
      <c r="B15" s="497"/>
      <c r="C15" s="498"/>
      <c r="D15" s="355" t="s">
        <v>62</v>
      </c>
      <c r="E15" s="511" t="s">
        <v>310</v>
      </c>
      <c r="F15" s="512"/>
      <c r="G15" s="512"/>
      <c r="H15" s="512"/>
      <c r="I15" s="512"/>
      <c r="J15" s="512"/>
      <c r="K15" s="512"/>
      <c r="L15" s="512"/>
      <c r="M15" s="512"/>
      <c r="N15" s="512"/>
      <c r="O15" s="512"/>
      <c r="P15" s="512"/>
      <c r="Q15" s="512"/>
      <c r="R15" s="512"/>
      <c r="S15" s="512"/>
      <c r="T15" s="512"/>
      <c r="U15" s="513"/>
    </row>
    <row r="16" spans="2:21" ht="18" thickBot="1" x14ac:dyDescent="0.45">
      <c r="B16" s="497"/>
      <c r="C16" s="498"/>
      <c r="D16" s="356" t="s">
        <v>221</v>
      </c>
      <c r="E16" s="508" t="s">
        <v>311</v>
      </c>
      <c r="F16" s="509"/>
      <c r="G16" s="509"/>
      <c r="H16" s="509"/>
      <c r="I16" s="509"/>
      <c r="J16" s="509"/>
      <c r="K16" s="509"/>
      <c r="L16" s="509"/>
      <c r="M16" s="509"/>
      <c r="N16" s="509"/>
      <c r="O16" s="509"/>
      <c r="P16" s="509"/>
      <c r="Q16" s="509"/>
      <c r="R16" s="509"/>
      <c r="S16" s="509"/>
      <c r="T16" s="509"/>
      <c r="U16" s="510"/>
    </row>
    <row r="17" spans="2:21" ht="29.25" thickBot="1" x14ac:dyDescent="0.45">
      <c r="B17" s="497"/>
      <c r="C17" s="498"/>
      <c r="D17" s="355" t="s">
        <v>107</v>
      </c>
      <c r="E17" s="511" t="s">
        <v>312</v>
      </c>
      <c r="F17" s="512"/>
      <c r="G17" s="512"/>
      <c r="H17" s="512"/>
      <c r="I17" s="512"/>
      <c r="J17" s="512"/>
      <c r="K17" s="512"/>
      <c r="L17" s="512"/>
      <c r="M17" s="512"/>
      <c r="N17" s="512"/>
      <c r="O17" s="512"/>
      <c r="P17" s="512"/>
      <c r="Q17" s="512"/>
      <c r="R17" s="512"/>
      <c r="S17" s="512"/>
      <c r="T17" s="512"/>
      <c r="U17" s="513"/>
    </row>
    <row r="18" spans="2:21" ht="18" thickBot="1" x14ac:dyDescent="0.45">
      <c r="B18" s="497"/>
      <c r="C18" s="498"/>
      <c r="D18" s="356" t="s">
        <v>32</v>
      </c>
      <c r="E18" s="508" t="s">
        <v>313</v>
      </c>
      <c r="F18" s="509"/>
      <c r="G18" s="509"/>
      <c r="H18" s="509"/>
      <c r="I18" s="509"/>
      <c r="J18" s="509"/>
      <c r="K18" s="509"/>
      <c r="L18" s="509"/>
      <c r="M18" s="509"/>
      <c r="N18" s="509"/>
      <c r="O18" s="509"/>
      <c r="P18" s="509"/>
      <c r="Q18" s="509"/>
      <c r="R18" s="509"/>
      <c r="S18" s="509"/>
      <c r="T18" s="509"/>
      <c r="U18" s="510"/>
    </row>
    <row r="19" spans="2:21" ht="18" thickBot="1" x14ac:dyDescent="0.45">
      <c r="B19" s="497"/>
      <c r="C19" s="498"/>
      <c r="D19" s="354" t="s">
        <v>21</v>
      </c>
      <c r="E19" s="511" t="s">
        <v>314</v>
      </c>
      <c r="F19" s="512"/>
      <c r="G19" s="512"/>
      <c r="H19" s="512"/>
      <c r="I19" s="512"/>
      <c r="J19" s="512"/>
      <c r="K19" s="512"/>
      <c r="L19" s="512"/>
      <c r="M19" s="512"/>
      <c r="N19" s="512"/>
      <c r="O19" s="512"/>
      <c r="P19" s="512"/>
      <c r="Q19" s="512"/>
      <c r="R19" s="512"/>
      <c r="S19" s="512"/>
      <c r="T19" s="512"/>
      <c r="U19" s="513"/>
    </row>
    <row r="20" spans="2:21" ht="18" thickBot="1" x14ac:dyDescent="0.45">
      <c r="B20" s="497"/>
      <c r="C20" s="498"/>
      <c r="D20" s="356" t="s">
        <v>53</v>
      </c>
      <c r="E20" s="508" t="s">
        <v>316</v>
      </c>
      <c r="F20" s="509"/>
      <c r="G20" s="509"/>
      <c r="H20" s="509"/>
      <c r="I20" s="509"/>
      <c r="J20" s="509"/>
      <c r="K20" s="509"/>
      <c r="L20" s="509"/>
      <c r="M20" s="509"/>
      <c r="N20" s="509"/>
      <c r="O20" s="509"/>
      <c r="P20" s="509"/>
      <c r="Q20" s="509"/>
      <c r="R20" s="509"/>
      <c r="S20" s="509"/>
      <c r="T20" s="509"/>
      <c r="U20" s="510"/>
    </row>
    <row r="21" spans="2:21" ht="18" thickBot="1" x14ac:dyDescent="0.45">
      <c r="B21" s="497"/>
      <c r="C21" s="498"/>
      <c r="D21" s="355" t="s">
        <v>54</v>
      </c>
      <c r="E21" s="511" t="s">
        <v>317</v>
      </c>
      <c r="F21" s="512"/>
      <c r="G21" s="512"/>
      <c r="H21" s="512"/>
      <c r="I21" s="512"/>
      <c r="J21" s="512"/>
      <c r="K21" s="512"/>
      <c r="L21" s="512"/>
      <c r="M21" s="512"/>
      <c r="N21" s="512"/>
      <c r="O21" s="512"/>
      <c r="P21" s="512"/>
      <c r="Q21" s="512"/>
      <c r="R21" s="512"/>
      <c r="S21" s="512"/>
      <c r="T21" s="512"/>
      <c r="U21" s="513"/>
    </row>
    <row r="22" spans="2:21" ht="18" thickBot="1" x14ac:dyDescent="0.45">
      <c r="B22" s="497"/>
      <c r="C22" s="498"/>
      <c r="D22" s="356" t="s">
        <v>55</v>
      </c>
      <c r="E22" s="508" t="s">
        <v>318</v>
      </c>
      <c r="F22" s="509"/>
      <c r="G22" s="509"/>
      <c r="H22" s="509"/>
      <c r="I22" s="509"/>
      <c r="J22" s="509"/>
      <c r="K22" s="509"/>
      <c r="L22" s="509"/>
      <c r="M22" s="509"/>
      <c r="N22" s="509"/>
      <c r="O22" s="509"/>
      <c r="P22" s="509"/>
      <c r="Q22" s="509"/>
      <c r="R22" s="509"/>
      <c r="S22" s="509"/>
      <c r="T22" s="509"/>
      <c r="U22" s="510"/>
    </row>
    <row r="23" spans="2:21" ht="18" thickBot="1" x14ac:dyDescent="0.45">
      <c r="B23" s="495" t="s">
        <v>11</v>
      </c>
      <c r="C23" s="496"/>
      <c r="D23" s="357" t="s">
        <v>0</v>
      </c>
      <c r="E23" s="511" t="s">
        <v>319</v>
      </c>
      <c r="F23" s="512"/>
      <c r="G23" s="512"/>
      <c r="H23" s="512"/>
      <c r="I23" s="512"/>
      <c r="J23" s="512"/>
      <c r="K23" s="512"/>
      <c r="L23" s="512"/>
      <c r="M23" s="512"/>
      <c r="N23" s="512"/>
      <c r="O23" s="512"/>
      <c r="P23" s="512"/>
      <c r="Q23" s="512"/>
      <c r="R23" s="512"/>
      <c r="S23" s="512"/>
      <c r="T23" s="512"/>
      <c r="U23" s="513"/>
    </row>
    <row r="24" spans="2:21" ht="18" thickBot="1" x14ac:dyDescent="0.45">
      <c r="B24" s="497"/>
      <c r="C24" s="498"/>
      <c r="D24" s="352" t="s">
        <v>1</v>
      </c>
      <c r="E24" s="508" t="s">
        <v>320</v>
      </c>
      <c r="F24" s="509"/>
      <c r="G24" s="509"/>
      <c r="H24" s="509"/>
      <c r="I24" s="509"/>
      <c r="J24" s="509"/>
      <c r="K24" s="509"/>
      <c r="L24" s="509"/>
      <c r="M24" s="509"/>
      <c r="N24" s="509"/>
      <c r="O24" s="509"/>
      <c r="P24" s="509"/>
      <c r="Q24" s="509"/>
      <c r="R24" s="509"/>
      <c r="S24" s="509"/>
      <c r="T24" s="509"/>
      <c r="U24" s="510"/>
    </row>
    <row r="25" spans="2:21" ht="18" thickBot="1" x14ac:dyDescent="0.45">
      <c r="B25" s="497"/>
      <c r="C25" s="498"/>
      <c r="D25" s="357" t="s">
        <v>2</v>
      </c>
      <c r="E25" s="511" t="s">
        <v>321</v>
      </c>
      <c r="F25" s="512"/>
      <c r="G25" s="512"/>
      <c r="H25" s="512"/>
      <c r="I25" s="512"/>
      <c r="J25" s="512"/>
      <c r="K25" s="512"/>
      <c r="L25" s="512"/>
      <c r="M25" s="512"/>
      <c r="N25" s="512"/>
      <c r="O25" s="512"/>
      <c r="P25" s="512"/>
      <c r="Q25" s="512"/>
      <c r="R25" s="512"/>
      <c r="S25" s="512"/>
      <c r="T25" s="512"/>
      <c r="U25" s="513"/>
    </row>
    <row r="26" spans="2:21" ht="18" thickBot="1" x14ac:dyDescent="0.45">
      <c r="B26" s="497"/>
      <c r="C26" s="498"/>
      <c r="D26" s="352" t="s">
        <v>109</v>
      </c>
      <c r="E26" s="508" t="s">
        <v>322</v>
      </c>
      <c r="F26" s="509"/>
      <c r="G26" s="509"/>
      <c r="H26" s="509"/>
      <c r="I26" s="509"/>
      <c r="J26" s="509"/>
      <c r="K26" s="509"/>
      <c r="L26" s="509"/>
      <c r="M26" s="509"/>
      <c r="N26" s="509"/>
      <c r="O26" s="509"/>
      <c r="P26" s="509"/>
      <c r="Q26" s="509"/>
      <c r="R26" s="509"/>
      <c r="S26" s="509"/>
      <c r="T26" s="509"/>
      <c r="U26" s="510"/>
    </row>
    <row r="27" spans="2:21" ht="18" thickBot="1" x14ac:dyDescent="0.45">
      <c r="B27" s="497"/>
      <c r="C27" s="498"/>
      <c r="D27" s="357" t="s">
        <v>67</v>
      </c>
      <c r="E27" s="511" t="s">
        <v>323</v>
      </c>
      <c r="F27" s="512"/>
      <c r="G27" s="512"/>
      <c r="H27" s="512"/>
      <c r="I27" s="512"/>
      <c r="J27" s="512"/>
      <c r="K27" s="512"/>
      <c r="L27" s="512"/>
      <c r="M27" s="512"/>
      <c r="N27" s="512"/>
      <c r="O27" s="512"/>
      <c r="P27" s="512"/>
      <c r="Q27" s="512"/>
      <c r="R27" s="512"/>
      <c r="S27" s="512"/>
      <c r="T27" s="512"/>
      <c r="U27" s="513"/>
    </row>
    <row r="28" spans="2:21" ht="18" thickBot="1" x14ac:dyDescent="0.45">
      <c r="B28" s="497"/>
      <c r="C28" s="498"/>
      <c r="D28" s="352" t="s">
        <v>110</v>
      </c>
      <c r="E28" s="508" t="s">
        <v>324</v>
      </c>
      <c r="F28" s="509"/>
      <c r="G28" s="509"/>
      <c r="H28" s="509"/>
      <c r="I28" s="509"/>
      <c r="J28" s="509"/>
      <c r="K28" s="509"/>
      <c r="L28" s="509"/>
      <c r="M28" s="509"/>
      <c r="N28" s="509"/>
      <c r="O28" s="509"/>
      <c r="P28" s="509"/>
      <c r="Q28" s="509"/>
      <c r="R28" s="509"/>
      <c r="S28" s="509"/>
      <c r="T28" s="509"/>
      <c r="U28" s="510"/>
    </row>
    <row r="29" spans="2:21" ht="18" thickBot="1" x14ac:dyDescent="0.45">
      <c r="B29" s="497"/>
      <c r="C29" s="498"/>
      <c r="D29" s="357" t="s">
        <v>23</v>
      </c>
      <c r="E29" s="511" t="s">
        <v>325</v>
      </c>
      <c r="F29" s="512"/>
      <c r="G29" s="512"/>
      <c r="H29" s="512"/>
      <c r="I29" s="512"/>
      <c r="J29" s="512"/>
      <c r="K29" s="512"/>
      <c r="L29" s="512"/>
      <c r="M29" s="512"/>
      <c r="N29" s="512"/>
      <c r="O29" s="512"/>
      <c r="P29" s="512"/>
      <c r="Q29" s="512"/>
      <c r="R29" s="512"/>
      <c r="S29" s="512"/>
      <c r="T29" s="512"/>
      <c r="U29" s="513"/>
    </row>
    <row r="30" spans="2:21" ht="18" thickBot="1" x14ac:dyDescent="0.45">
      <c r="B30" s="499"/>
      <c r="C30" s="500"/>
      <c r="D30" s="352" t="s">
        <v>108</v>
      </c>
      <c r="E30" s="508" t="s">
        <v>326</v>
      </c>
      <c r="F30" s="509"/>
      <c r="G30" s="509"/>
      <c r="H30" s="509"/>
      <c r="I30" s="509"/>
      <c r="J30" s="509"/>
      <c r="K30" s="509"/>
      <c r="L30" s="509"/>
      <c r="M30" s="509"/>
      <c r="N30" s="509"/>
      <c r="O30" s="509"/>
      <c r="P30" s="509"/>
      <c r="Q30" s="509"/>
      <c r="R30" s="509"/>
      <c r="S30" s="509"/>
      <c r="T30" s="509"/>
      <c r="U30" s="510"/>
    </row>
    <row r="31" spans="2:21" ht="18" thickBot="1" x14ac:dyDescent="0.45">
      <c r="B31" s="495" t="s">
        <v>4</v>
      </c>
      <c r="C31" s="496"/>
      <c r="D31" s="357" t="s">
        <v>29</v>
      </c>
      <c r="E31" s="511" t="s">
        <v>327</v>
      </c>
      <c r="F31" s="512"/>
      <c r="G31" s="512"/>
      <c r="H31" s="512"/>
      <c r="I31" s="512"/>
      <c r="J31" s="512"/>
      <c r="K31" s="512"/>
      <c r="L31" s="512"/>
      <c r="M31" s="512"/>
      <c r="N31" s="512"/>
      <c r="O31" s="512"/>
      <c r="P31" s="512"/>
      <c r="Q31" s="512"/>
      <c r="R31" s="512"/>
      <c r="S31" s="512"/>
      <c r="T31" s="512"/>
      <c r="U31" s="513"/>
    </row>
    <row r="32" spans="2:21" ht="18" thickBot="1" x14ac:dyDescent="0.45">
      <c r="B32" s="497"/>
      <c r="C32" s="498"/>
      <c r="D32" s="352" t="s">
        <v>31</v>
      </c>
      <c r="E32" s="508" t="s">
        <v>328</v>
      </c>
      <c r="F32" s="509"/>
      <c r="G32" s="509"/>
      <c r="H32" s="509"/>
      <c r="I32" s="509"/>
      <c r="J32" s="509"/>
      <c r="K32" s="509"/>
      <c r="L32" s="509"/>
      <c r="M32" s="509"/>
      <c r="N32" s="509"/>
      <c r="O32" s="509"/>
      <c r="P32" s="509"/>
      <c r="Q32" s="509"/>
      <c r="R32" s="509"/>
      <c r="S32" s="509"/>
      <c r="T32" s="509"/>
      <c r="U32" s="510"/>
    </row>
    <row r="33" spans="2:21" ht="18" thickBot="1" x14ac:dyDescent="0.45">
      <c r="B33" s="497"/>
      <c r="C33" s="498"/>
      <c r="D33" s="357" t="s">
        <v>30</v>
      </c>
      <c r="E33" s="511" t="s">
        <v>329</v>
      </c>
      <c r="F33" s="512"/>
      <c r="G33" s="512"/>
      <c r="H33" s="512"/>
      <c r="I33" s="512"/>
      <c r="J33" s="512"/>
      <c r="K33" s="512"/>
      <c r="L33" s="512"/>
      <c r="M33" s="512"/>
      <c r="N33" s="512"/>
      <c r="O33" s="512"/>
      <c r="P33" s="512"/>
      <c r="Q33" s="512"/>
      <c r="R33" s="512"/>
      <c r="S33" s="512"/>
      <c r="T33" s="512"/>
      <c r="U33" s="513"/>
    </row>
    <row r="34" spans="2:21" ht="18" thickBot="1" x14ac:dyDescent="0.45">
      <c r="B34" s="497"/>
      <c r="C34" s="498"/>
      <c r="D34" s="361" t="s">
        <v>15</v>
      </c>
      <c r="E34" s="532" t="s">
        <v>330</v>
      </c>
      <c r="F34" s="533"/>
      <c r="G34" s="533"/>
      <c r="H34" s="533"/>
      <c r="I34" s="533"/>
      <c r="J34" s="533"/>
      <c r="K34" s="533"/>
      <c r="L34" s="533"/>
      <c r="M34" s="533"/>
      <c r="N34" s="533"/>
      <c r="O34" s="533"/>
      <c r="P34" s="533"/>
      <c r="Q34" s="533"/>
      <c r="R34" s="533"/>
      <c r="S34" s="533"/>
      <c r="T34" s="533"/>
      <c r="U34" s="534"/>
    </row>
    <row r="35" spans="2:21" ht="18" thickBot="1" x14ac:dyDescent="0.45">
      <c r="B35" s="499"/>
      <c r="C35" s="500"/>
      <c r="D35" s="387" t="s">
        <v>413</v>
      </c>
      <c r="E35" s="508" t="s">
        <v>414</v>
      </c>
      <c r="F35" s="509"/>
      <c r="G35" s="509"/>
      <c r="H35" s="509"/>
      <c r="I35" s="509"/>
      <c r="J35" s="509"/>
      <c r="K35" s="509"/>
      <c r="L35" s="509"/>
      <c r="M35" s="509"/>
      <c r="N35" s="509"/>
      <c r="O35" s="509"/>
      <c r="P35" s="509"/>
      <c r="Q35" s="509"/>
      <c r="R35" s="509"/>
      <c r="S35" s="509"/>
      <c r="T35" s="509"/>
      <c r="U35" s="510"/>
    </row>
    <row r="36" spans="2:21" ht="18" thickBot="1" x14ac:dyDescent="0.45">
      <c r="B36" s="495" t="s">
        <v>5</v>
      </c>
      <c r="C36" s="496"/>
      <c r="D36" s="357" t="s">
        <v>28</v>
      </c>
      <c r="E36" s="511" t="s">
        <v>331</v>
      </c>
      <c r="F36" s="512"/>
      <c r="G36" s="512"/>
      <c r="H36" s="512"/>
      <c r="I36" s="512"/>
      <c r="J36" s="512"/>
      <c r="K36" s="512"/>
      <c r="L36" s="512"/>
      <c r="M36" s="512"/>
      <c r="N36" s="512"/>
      <c r="O36" s="512"/>
      <c r="P36" s="512"/>
      <c r="Q36" s="512"/>
      <c r="R36" s="512"/>
      <c r="S36" s="512"/>
      <c r="T36" s="512"/>
      <c r="U36" s="513"/>
    </row>
    <row r="37" spans="2:21" ht="18" thickBot="1" x14ac:dyDescent="0.45">
      <c r="B37" s="497"/>
      <c r="C37" s="498"/>
      <c r="D37" s="352" t="s">
        <v>27</v>
      </c>
      <c r="E37" s="508" t="s">
        <v>332</v>
      </c>
      <c r="F37" s="509"/>
      <c r="G37" s="509"/>
      <c r="H37" s="509"/>
      <c r="I37" s="509"/>
      <c r="J37" s="509"/>
      <c r="K37" s="509"/>
      <c r="L37" s="509"/>
      <c r="M37" s="509"/>
      <c r="N37" s="509"/>
      <c r="O37" s="509"/>
      <c r="P37" s="509"/>
      <c r="Q37" s="509"/>
      <c r="R37" s="509"/>
      <c r="S37" s="509"/>
      <c r="T37" s="509"/>
      <c r="U37" s="510"/>
    </row>
    <row r="38" spans="2:21" ht="29.25" thickBot="1" x14ac:dyDescent="0.45">
      <c r="B38" s="497"/>
      <c r="C38" s="498"/>
      <c r="D38" s="357" t="s">
        <v>70</v>
      </c>
      <c r="E38" s="511" t="s">
        <v>333</v>
      </c>
      <c r="F38" s="512"/>
      <c r="G38" s="512"/>
      <c r="H38" s="512"/>
      <c r="I38" s="512"/>
      <c r="J38" s="512"/>
      <c r="K38" s="512"/>
      <c r="L38" s="512"/>
      <c r="M38" s="512"/>
      <c r="N38" s="512"/>
      <c r="O38" s="512"/>
      <c r="P38" s="512"/>
      <c r="Q38" s="512"/>
      <c r="R38" s="512"/>
      <c r="S38" s="512"/>
      <c r="T38" s="512"/>
      <c r="U38" s="513"/>
    </row>
    <row r="39" spans="2:21" ht="18" thickBot="1" x14ac:dyDescent="0.45">
      <c r="B39" s="497"/>
      <c r="C39" s="498"/>
      <c r="D39" s="352" t="s">
        <v>26</v>
      </c>
      <c r="E39" s="508" t="s">
        <v>334</v>
      </c>
      <c r="F39" s="509"/>
      <c r="G39" s="509"/>
      <c r="H39" s="509"/>
      <c r="I39" s="509"/>
      <c r="J39" s="509"/>
      <c r="K39" s="509"/>
      <c r="L39" s="509"/>
      <c r="M39" s="509"/>
      <c r="N39" s="509"/>
      <c r="O39" s="509"/>
      <c r="P39" s="509"/>
      <c r="Q39" s="509"/>
      <c r="R39" s="509"/>
      <c r="S39" s="509"/>
      <c r="T39" s="509"/>
      <c r="U39" s="510"/>
    </row>
    <row r="40" spans="2:21" ht="18" thickBot="1" x14ac:dyDescent="0.45">
      <c r="B40" s="499"/>
      <c r="C40" s="500"/>
      <c r="D40" s="357" t="s">
        <v>6</v>
      </c>
      <c r="E40" s="511" t="s">
        <v>335</v>
      </c>
      <c r="F40" s="512"/>
      <c r="G40" s="512"/>
      <c r="H40" s="512"/>
      <c r="I40" s="512"/>
      <c r="J40" s="512"/>
      <c r="K40" s="512"/>
      <c r="L40" s="512"/>
      <c r="M40" s="512"/>
      <c r="N40" s="512"/>
      <c r="O40" s="512"/>
      <c r="P40" s="512"/>
      <c r="Q40" s="512"/>
      <c r="R40" s="512"/>
      <c r="S40" s="512"/>
      <c r="T40" s="512"/>
      <c r="U40" s="513"/>
    </row>
    <row r="41" spans="2:21" ht="18" thickBot="1" x14ac:dyDescent="0.45">
      <c r="B41" s="495" t="s">
        <v>16</v>
      </c>
      <c r="C41" s="496"/>
      <c r="D41" s="352" t="s">
        <v>315</v>
      </c>
      <c r="E41" s="508" t="s">
        <v>336</v>
      </c>
      <c r="F41" s="509"/>
      <c r="G41" s="509"/>
      <c r="H41" s="509"/>
      <c r="I41" s="509"/>
      <c r="J41" s="509"/>
      <c r="K41" s="509"/>
      <c r="L41" s="509"/>
      <c r="M41" s="509"/>
      <c r="N41" s="509"/>
      <c r="O41" s="509"/>
      <c r="P41" s="509"/>
      <c r="Q41" s="509"/>
      <c r="R41" s="509"/>
      <c r="S41" s="509"/>
      <c r="T41" s="509"/>
      <c r="U41" s="510"/>
    </row>
    <row r="42" spans="2:21" ht="18" thickBot="1" x14ac:dyDescent="0.45">
      <c r="B42" s="497"/>
      <c r="C42" s="498"/>
      <c r="D42" s="357" t="s">
        <v>111</v>
      </c>
      <c r="E42" s="511" t="s">
        <v>347</v>
      </c>
      <c r="F42" s="512"/>
      <c r="G42" s="512"/>
      <c r="H42" s="512"/>
      <c r="I42" s="512"/>
      <c r="J42" s="512"/>
      <c r="K42" s="512"/>
      <c r="L42" s="512"/>
      <c r="M42" s="512"/>
      <c r="N42" s="512"/>
      <c r="O42" s="512"/>
      <c r="P42" s="512"/>
      <c r="Q42" s="512"/>
      <c r="R42" s="512"/>
      <c r="S42" s="512"/>
      <c r="T42" s="512"/>
      <c r="U42" s="513"/>
    </row>
    <row r="43" spans="2:21" ht="18" thickBot="1" x14ac:dyDescent="0.45">
      <c r="B43" s="497"/>
      <c r="C43" s="498"/>
      <c r="D43" s="352" t="s">
        <v>57</v>
      </c>
      <c r="E43" s="508" t="s">
        <v>348</v>
      </c>
      <c r="F43" s="509"/>
      <c r="G43" s="509"/>
      <c r="H43" s="509"/>
      <c r="I43" s="509"/>
      <c r="J43" s="509"/>
      <c r="K43" s="509"/>
      <c r="L43" s="509"/>
      <c r="M43" s="509"/>
      <c r="N43" s="509"/>
      <c r="O43" s="509"/>
      <c r="P43" s="509"/>
      <c r="Q43" s="509"/>
      <c r="R43" s="509"/>
      <c r="S43" s="509"/>
      <c r="T43" s="509"/>
      <c r="U43" s="510"/>
    </row>
    <row r="44" spans="2:21" ht="18" thickBot="1" x14ac:dyDescent="0.45">
      <c r="B44" s="497"/>
      <c r="C44" s="498"/>
      <c r="D44" s="357" t="s">
        <v>112</v>
      </c>
      <c r="E44" s="511" t="s">
        <v>349</v>
      </c>
      <c r="F44" s="512"/>
      <c r="G44" s="512"/>
      <c r="H44" s="512"/>
      <c r="I44" s="512"/>
      <c r="J44" s="512"/>
      <c r="K44" s="512"/>
      <c r="L44" s="512"/>
      <c r="M44" s="512"/>
      <c r="N44" s="512"/>
      <c r="O44" s="512"/>
      <c r="P44" s="512"/>
      <c r="Q44" s="512"/>
      <c r="R44" s="512"/>
      <c r="S44" s="512"/>
      <c r="T44" s="512"/>
      <c r="U44" s="513"/>
    </row>
    <row r="45" spans="2:21" ht="18" thickBot="1" x14ac:dyDescent="0.45">
      <c r="B45" s="497"/>
      <c r="C45" s="498"/>
      <c r="D45" s="352" t="s">
        <v>17</v>
      </c>
      <c r="E45" s="508" t="s">
        <v>350</v>
      </c>
      <c r="F45" s="509"/>
      <c r="G45" s="509"/>
      <c r="H45" s="509"/>
      <c r="I45" s="509"/>
      <c r="J45" s="509"/>
      <c r="K45" s="509"/>
      <c r="L45" s="509"/>
      <c r="M45" s="509"/>
      <c r="N45" s="509"/>
      <c r="O45" s="509"/>
      <c r="P45" s="509"/>
      <c r="Q45" s="509"/>
      <c r="R45" s="509"/>
      <c r="S45" s="509"/>
      <c r="T45" s="509"/>
      <c r="U45" s="510"/>
    </row>
    <row r="46" spans="2:21" ht="18" thickBot="1" x14ac:dyDescent="0.45">
      <c r="B46" s="497"/>
      <c r="C46" s="498"/>
      <c r="D46" s="357" t="s">
        <v>7</v>
      </c>
      <c r="E46" s="511" t="s">
        <v>351</v>
      </c>
      <c r="F46" s="512"/>
      <c r="G46" s="512"/>
      <c r="H46" s="512"/>
      <c r="I46" s="512"/>
      <c r="J46" s="512"/>
      <c r="K46" s="512"/>
      <c r="L46" s="512"/>
      <c r="M46" s="512"/>
      <c r="N46" s="512"/>
      <c r="O46" s="512"/>
      <c r="P46" s="512"/>
      <c r="Q46" s="512"/>
      <c r="R46" s="512"/>
      <c r="S46" s="512"/>
      <c r="T46" s="512"/>
      <c r="U46" s="513"/>
    </row>
    <row r="47" spans="2:21" ht="18" thickBot="1" x14ac:dyDescent="0.45">
      <c r="B47" s="497"/>
      <c r="C47" s="498"/>
      <c r="D47" s="352" t="s">
        <v>113</v>
      </c>
      <c r="E47" s="508" t="s">
        <v>352</v>
      </c>
      <c r="F47" s="509"/>
      <c r="G47" s="509"/>
      <c r="H47" s="509"/>
      <c r="I47" s="509"/>
      <c r="J47" s="509"/>
      <c r="K47" s="509"/>
      <c r="L47" s="509"/>
      <c r="M47" s="509"/>
      <c r="N47" s="509"/>
      <c r="O47" s="509"/>
      <c r="P47" s="509"/>
      <c r="Q47" s="509"/>
      <c r="R47" s="509"/>
      <c r="S47" s="509"/>
      <c r="T47" s="509"/>
      <c r="U47" s="510"/>
    </row>
    <row r="48" spans="2:21" ht="18" thickBot="1" x14ac:dyDescent="0.45">
      <c r="B48" s="497"/>
      <c r="C48" s="498"/>
      <c r="D48" s="357" t="s">
        <v>18</v>
      </c>
      <c r="E48" s="511" t="s">
        <v>353</v>
      </c>
      <c r="F48" s="512"/>
      <c r="G48" s="512"/>
      <c r="H48" s="512"/>
      <c r="I48" s="512"/>
      <c r="J48" s="512"/>
      <c r="K48" s="512"/>
      <c r="L48" s="512"/>
      <c r="M48" s="512"/>
      <c r="N48" s="512"/>
      <c r="O48" s="512"/>
      <c r="P48" s="512"/>
      <c r="Q48" s="512"/>
      <c r="R48" s="512"/>
      <c r="S48" s="512"/>
      <c r="T48" s="512"/>
      <c r="U48" s="513"/>
    </row>
    <row r="49" spans="2:21" ht="29.25" thickBot="1" x14ac:dyDescent="0.45">
      <c r="B49" s="497"/>
      <c r="C49" s="498"/>
      <c r="D49" s="352" t="s">
        <v>19</v>
      </c>
      <c r="E49" s="508" t="s">
        <v>354</v>
      </c>
      <c r="F49" s="509"/>
      <c r="G49" s="509"/>
      <c r="H49" s="509"/>
      <c r="I49" s="509"/>
      <c r="J49" s="509"/>
      <c r="K49" s="509"/>
      <c r="L49" s="509"/>
      <c r="M49" s="509"/>
      <c r="N49" s="509"/>
      <c r="O49" s="509"/>
      <c r="P49" s="509"/>
      <c r="Q49" s="509"/>
      <c r="R49" s="509"/>
      <c r="S49" s="509"/>
      <c r="T49" s="509"/>
      <c r="U49" s="510"/>
    </row>
    <row r="50" spans="2:21" ht="29.25" thickBot="1" x14ac:dyDescent="0.45">
      <c r="B50" s="495" t="s">
        <v>115</v>
      </c>
      <c r="C50" s="496"/>
      <c r="D50" s="357" t="s">
        <v>114</v>
      </c>
      <c r="E50" s="511" t="s">
        <v>355</v>
      </c>
      <c r="F50" s="512"/>
      <c r="G50" s="512"/>
      <c r="H50" s="512"/>
      <c r="I50" s="512"/>
      <c r="J50" s="512"/>
      <c r="K50" s="512"/>
      <c r="L50" s="512"/>
      <c r="M50" s="512"/>
      <c r="N50" s="512"/>
      <c r="O50" s="512"/>
      <c r="P50" s="512"/>
      <c r="Q50" s="512"/>
      <c r="R50" s="512"/>
      <c r="S50" s="512"/>
      <c r="T50" s="512"/>
      <c r="U50" s="513"/>
    </row>
    <row r="51" spans="2:21" ht="18" thickBot="1" x14ac:dyDescent="0.45">
      <c r="B51" s="497"/>
      <c r="C51" s="498"/>
      <c r="D51" s="352" t="s">
        <v>63</v>
      </c>
      <c r="E51" s="508" t="s">
        <v>356</v>
      </c>
      <c r="F51" s="509"/>
      <c r="G51" s="509"/>
      <c r="H51" s="509"/>
      <c r="I51" s="509"/>
      <c r="J51" s="509"/>
      <c r="K51" s="509"/>
      <c r="L51" s="509"/>
      <c r="M51" s="509"/>
      <c r="N51" s="509"/>
      <c r="O51" s="509"/>
      <c r="P51" s="509"/>
      <c r="Q51" s="509"/>
      <c r="R51" s="509"/>
      <c r="S51" s="509"/>
      <c r="T51" s="509"/>
      <c r="U51" s="510"/>
    </row>
    <row r="52" spans="2:21" ht="18" thickBot="1" x14ac:dyDescent="0.45">
      <c r="B52" s="497"/>
      <c r="C52" s="498"/>
      <c r="D52" s="357" t="s">
        <v>34</v>
      </c>
      <c r="E52" s="511" t="s">
        <v>357</v>
      </c>
      <c r="F52" s="512"/>
      <c r="G52" s="512"/>
      <c r="H52" s="512"/>
      <c r="I52" s="512"/>
      <c r="J52" s="512"/>
      <c r="K52" s="512"/>
      <c r="L52" s="512"/>
      <c r="M52" s="512"/>
      <c r="N52" s="512"/>
      <c r="O52" s="512"/>
      <c r="P52" s="512"/>
      <c r="Q52" s="512"/>
      <c r="R52" s="512"/>
      <c r="S52" s="512"/>
      <c r="T52" s="512"/>
      <c r="U52" s="513"/>
    </row>
    <row r="53" spans="2:21" ht="18" thickBot="1" x14ac:dyDescent="0.45">
      <c r="B53" s="497"/>
      <c r="C53" s="498"/>
      <c r="D53" s="352" t="s">
        <v>116</v>
      </c>
      <c r="E53" s="508" t="s">
        <v>358</v>
      </c>
      <c r="F53" s="509"/>
      <c r="G53" s="509"/>
      <c r="H53" s="509"/>
      <c r="I53" s="509"/>
      <c r="J53" s="509"/>
      <c r="K53" s="509"/>
      <c r="L53" s="509"/>
      <c r="M53" s="509"/>
      <c r="N53" s="509"/>
      <c r="O53" s="509"/>
      <c r="P53" s="509"/>
      <c r="Q53" s="509"/>
      <c r="R53" s="509"/>
      <c r="S53" s="509"/>
      <c r="T53" s="509"/>
      <c r="U53" s="510"/>
    </row>
    <row r="54" spans="2:21" ht="18" thickBot="1" x14ac:dyDescent="0.45">
      <c r="B54" s="497"/>
      <c r="C54" s="498"/>
      <c r="D54" s="357" t="s">
        <v>117</v>
      </c>
      <c r="E54" s="511" t="s">
        <v>359</v>
      </c>
      <c r="F54" s="512"/>
      <c r="G54" s="512"/>
      <c r="H54" s="512"/>
      <c r="I54" s="512"/>
      <c r="J54" s="512"/>
      <c r="K54" s="512"/>
      <c r="L54" s="512"/>
      <c r="M54" s="512"/>
      <c r="N54" s="512"/>
      <c r="O54" s="512"/>
      <c r="P54" s="512"/>
      <c r="Q54" s="512"/>
      <c r="R54" s="512"/>
      <c r="S54" s="512"/>
      <c r="T54" s="512"/>
      <c r="U54" s="513"/>
    </row>
    <row r="55" spans="2:21" ht="18" thickBot="1" x14ac:dyDescent="0.45">
      <c r="B55" s="497"/>
      <c r="C55" s="498"/>
      <c r="D55" s="352" t="s">
        <v>118</v>
      </c>
      <c r="E55" s="508" t="s">
        <v>360</v>
      </c>
      <c r="F55" s="509"/>
      <c r="G55" s="509"/>
      <c r="H55" s="509"/>
      <c r="I55" s="509"/>
      <c r="J55" s="509"/>
      <c r="K55" s="509"/>
      <c r="L55" s="509"/>
      <c r="M55" s="509"/>
      <c r="N55" s="509"/>
      <c r="O55" s="509"/>
      <c r="P55" s="509"/>
      <c r="Q55" s="509"/>
      <c r="R55" s="509"/>
      <c r="S55" s="509"/>
      <c r="T55" s="509"/>
      <c r="U55" s="510"/>
    </row>
    <row r="56" spans="2:21" ht="18" thickBot="1" x14ac:dyDescent="0.45">
      <c r="B56" s="497"/>
      <c r="C56" s="498"/>
      <c r="D56" s="357" t="s">
        <v>119</v>
      </c>
      <c r="E56" s="511" t="s">
        <v>361</v>
      </c>
      <c r="F56" s="512"/>
      <c r="G56" s="512"/>
      <c r="H56" s="512"/>
      <c r="I56" s="512"/>
      <c r="J56" s="512"/>
      <c r="K56" s="512"/>
      <c r="L56" s="512"/>
      <c r="M56" s="512"/>
      <c r="N56" s="512"/>
      <c r="O56" s="512"/>
      <c r="P56" s="512"/>
      <c r="Q56" s="512"/>
      <c r="R56" s="512"/>
      <c r="S56" s="512"/>
      <c r="T56" s="512"/>
      <c r="U56" s="513"/>
    </row>
    <row r="57" spans="2:21" ht="18" thickBot="1" x14ac:dyDescent="0.45">
      <c r="B57" s="497"/>
      <c r="C57" s="498"/>
      <c r="D57" s="352" t="s">
        <v>120</v>
      </c>
      <c r="E57" s="508" t="s">
        <v>361</v>
      </c>
      <c r="F57" s="509"/>
      <c r="G57" s="509"/>
      <c r="H57" s="509"/>
      <c r="I57" s="509"/>
      <c r="J57" s="509"/>
      <c r="K57" s="509"/>
      <c r="L57" s="509"/>
      <c r="M57" s="509"/>
      <c r="N57" s="509"/>
      <c r="O57" s="509"/>
      <c r="P57" s="509"/>
      <c r="Q57" s="509"/>
      <c r="R57" s="509"/>
      <c r="S57" s="509"/>
      <c r="T57" s="509"/>
      <c r="U57" s="510"/>
    </row>
    <row r="58" spans="2:21" ht="18" thickBot="1" x14ac:dyDescent="0.45">
      <c r="B58" s="497"/>
      <c r="C58" s="498"/>
      <c r="D58" s="357" t="s">
        <v>121</v>
      </c>
      <c r="E58" s="511" t="s">
        <v>362</v>
      </c>
      <c r="F58" s="512"/>
      <c r="G58" s="512"/>
      <c r="H58" s="512"/>
      <c r="I58" s="512"/>
      <c r="J58" s="512"/>
      <c r="K58" s="512"/>
      <c r="L58" s="512"/>
      <c r="M58" s="512"/>
      <c r="N58" s="512"/>
      <c r="O58" s="512"/>
      <c r="P58" s="512"/>
      <c r="Q58" s="512"/>
      <c r="R58" s="512"/>
      <c r="S58" s="512"/>
      <c r="T58" s="512"/>
      <c r="U58" s="513"/>
    </row>
    <row r="59" spans="2:21" ht="36.75" customHeight="1" thickBot="1" x14ac:dyDescent="0.45">
      <c r="B59" s="497"/>
      <c r="C59" s="498"/>
      <c r="D59" s="352" t="s">
        <v>122</v>
      </c>
      <c r="E59" s="526" t="s">
        <v>363</v>
      </c>
      <c r="F59" s="527"/>
      <c r="G59" s="527"/>
      <c r="H59" s="527"/>
      <c r="I59" s="527"/>
      <c r="J59" s="527"/>
      <c r="K59" s="527"/>
      <c r="L59" s="527"/>
      <c r="M59" s="527"/>
      <c r="N59" s="527"/>
      <c r="O59" s="527"/>
      <c r="P59" s="527"/>
      <c r="Q59" s="527"/>
      <c r="R59" s="527"/>
      <c r="S59" s="527"/>
      <c r="T59" s="527"/>
      <c r="U59" s="528"/>
    </row>
    <row r="60" spans="2:21" ht="18" thickBot="1" x14ac:dyDescent="0.45">
      <c r="B60" s="497"/>
      <c r="C60" s="498"/>
      <c r="D60" s="357" t="s">
        <v>61</v>
      </c>
      <c r="E60" s="511" t="s">
        <v>364</v>
      </c>
      <c r="F60" s="512"/>
      <c r="G60" s="512"/>
      <c r="H60" s="512"/>
      <c r="I60" s="512"/>
      <c r="J60" s="512"/>
      <c r="K60" s="512"/>
      <c r="L60" s="512"/>
      <c r="M60" s="512"/>
      <c r="N60" s="512"/>
      <c r="O60" s="512"/>
      <c r="P60" s="512"/>
      <c r="Q60" s="512"/>
      <c r="R60" s="512"/>
      <c r="S60" s="512"/>
      <c r="T60" s="512"/>
      <c r="U60" s="513"/>
    </row>
    <row r="61" spans="2:21" ht="18" thickBot="1" x14ac:dyDescent="0.45">
      <c r="B61" s="497"/>
      <c r="C61" s="498"/>
      <c r="D61" s="353" t="s">
        <v>39</v>
      </c>
      <c r="E61" s="508" t="s">
        <v>365</v>
      </c>
      <c r="F61" s="509"/>
      <c r="G61" s="509"/>
      <c r="H61" s="509"/>
      <c r="I61" s="509"/>
      <c r="J61" s="509"/>
      <c r="K61" s="509"/>
      <c r="L61" s="509"/>
      <c r="M61" s="509"/>
      <c r="N61" s="509"/>
      <c r="O61" s="509"/>
      <c r="P61" s="509"/>
      <c r="Q61" s="509"/>
      <c r="R61" s="509"/>
      <c r="S61" s="509"/>
      <c r="T61" s="509"/>
      <c r="U61" s="510"/>
    </row>
    <row r="62" spans="2:21" ht="29.25" thickBot="1" x14ac:dyDescent="0.45">
      <c r="B62" s="497"/>
      <c r="C62" s="498"/>
      <c r="D62" s="357" t="s">
        <v>123</v>
      </c>
      <c r="E62" s="511" t="s">
        <v>366</v>
      </c>
      <c r="F62" s="512"/>
      <c r="G62" s="512"/>
      <c r="H62" s="512"/>
      <c r="I62" s="512"/>
      <c r="J62" s="512"/>
      <c r="K62" s="512"/>
      <c r="L62" s="512"/>
      <c r="M62" s="512"/>
      <c r="N62" s="512"/>
      <c r="O62" s="512"/>
      <c r="P62" s="512"/>
      <c r="Q62" s="512"/>
      <c r="R62" s="512"/>
      <c r="S62" s="512"/>
      <c r="T62" s="512"/>
      <c r="U62" s="513"/>
    </row>
    <row r="63" spans="2:21" ht="43.5" thickBot="1" x14ac:dyDescent="0.45">
      <c r="B63" s="497"/>
      <c r="C63" s="498"/>
      <c r="D63" s="353" t="s">
        <v>124</v>
      </c>
      <c r="E63" s="508" t="s">
        <v>365</v>
      </c>
      <c r="F63" s="509"/>
      <c r="G63" s="509"/>
      <c r="H63" s="509"/>
      <c r="I63" s="509"/>
      <c r="J63" s="509"/>
      <c r="K63" s="509"/>
      <c r="L63" s="509"/>
      <c r="M63" s="509"/>
      <c r="N63" s="509"/>
      <c r="O63" s="509"/>
      <c r="P63" s="509"/>
      <c r="Q63" s="509"/>
      <c r="R63" s="509"/>
      <c r="S63" s="509"/>
      <c r="T63" s="509"/>
      <c r="U63" s="510"/>
    </row>
    <row r="64" spans="2:21" ht="18" thickBot="1" x14ac:dyDescent="0.45">
      <c r="B64" s="497"/>
      <c r="C64" s="498"/>
      <c r="D64" s="354" t="s">
        <v>125</v>
      </c>
      <c r="E64" s="511" t="s">
        <v>367</v>
      </c>
      <c r="F64" s="512"/>
      <c r="G64" s="512"/>
      <c r="H64" s="512"/>
      <c r="I64" s="512"/>
      <c r="J64" s="512"/>
      <c r="K64" s="512"/>
      <c r="L64" s="512"/>
      <c r="M64" s="512"/>
      <c r="N64" s="512"/>
      <c r="O64" s="512"/>
      <c r="P64" s="512"/>
      <c r="Q64" s="512"/>
      <c r="R64" s="512"/>
      <c r="S64" s="512"/>
      <c r="T64" s="512"/>
      <c r="U64" s="513"/>
    </row>
    <row r="65" spans="2:21" ht="18" thickBot="1" x14ac:dyDescent="0.45">
      <c r="B65" s="497"/>
      <c r="C65" s="498"/>
      <c r="D65" s="352" t="s">
        <v>13</v>
      </c>
      <c r="E65" s="508" t="s">
        <v>368</v>
      </c>
      <c r="F65" s="509"/>
      <c r="G65" s="509"/>
      <c r="H65" s="509"/>
      <c r="I65" s="509"/>
      <c r="J65" s="509"/>
      <c r="K65" s="509"/>
      <c r="L65" s="509"/>
      <c r="M65" s="509"/>
      <c r="N65" s="509"/>
      <c r="O65" s="509"/>
      <c r="P65" s="509"/>
      <c r="Q65" s="509"/>
      <c r="R65" s="509"/>
      <c r="S65" s="509"/>
      <c r="T65" s="509"/>
      <c r="U65" s="510"/>
    </row>
    <row r="66" spans="2:21" ht="18" thickBot="1" x14ac:dyDescent="0.45">
      <c r="B66" s="497"/>
      <c r="C66" s="498"/>
      <c r="D66" s="357" t="s">
        <v>12</v>
      </c>
      <c r="E66" s="511" t="s">
        <v>368</v>
      </c>
      <c r="F66" s="512"/>
      <c r="G66" s="512"/>
      <c r="H66" s="512"/>
      <c r="I66" s="512"/>
      <c r="J66" s="512"/>
      <c r="K66" s="512"/>
      <c r="L66" s="512"/>
      <c r="M66" s="512"/>
      <c r="N66" s="512"/>
      <c r="O66" s="512"/>
      <c r="P66" s="512"/>
      <c r="Q66" s="512"/>
      <c r="R66" s="512"/>
      <c r="S66" s="512"/>
      <c r="T66" s="512"/>
      <c r="U66" s="513"/>
    </row>
    <row r="67" spans="2:21" ht="18" thickBot="1" x14ac:dyDescent="0.45">
      <c r="B67" s="497"/>
      <c r="C67" s="498"/>
      <c r="D67" s="352" t="s">
        <v>126</v>
      </c>
      <c r="E67" s="508" t="s">
        <v>369</v>
      </c>
      <c r="F67" s="509"/>
      <c r="G67" s="509"/>
      <c r="H67" s="509"/>
      <c r="I67" s="509"/>
      <c r="J67" s="509"/>
      <c r="K67" s="509"/>
      <c r="L67" s="509"/>
      <c r="M67" s="509"/>
      <c r="N67" s="509"/>
      <c r="O67" s="509"/>
      <c r="P67" s="509"/>
      <c r="Q67" s="509"/>
      <c r="R67" s="509"/>
      <c r="S67" s="509"/>
      <c r="T67" s="509"/>
      <c r="U67" s="510"/>
    </row>
    <row r="68" spans="2:21" ht="18" thickBot="1" x14ac:dyDescent="0.45">
      <c r="B68" s="497"/>
      <c r="C68" s="498"/>
      <c r="D68" s="357" t="s">
        <v>234</v>
      </c>
      <c r="E68" s="511" t="s">
        <v>370</v>
      </c>
      <c r="F68" s="512"/>
      <c r="G68" s="512"/>
      <c r="H68" s="512"/>
      <c r="I68" s="512"/>
      <c r="J68" s="512"/>
      <c r="K68" s="512"/>
      <c r="L68" s="512"/>
      <c r="M68" s="512"/>
      <c r="N68" s="512"/>
      <c r="O68" s="512"/>
      <c r="P68" s="512"/>
      <c r="Q68" s="512"/>
      <c r="R68" s="512"/>
      <c r="S68" s="512"/>
      <c r="T68" s="512"/>
      <c r="U68" s="513"/>
    </row>
    <row r="69" spans="2:21" ht="18" thickBot="1" x14ac:dyDescent="0.45">
      <c r="B69" s="497"/>
      <c r="C69" s="498"/>
      <c r="D69" s="352" t="s">
        <v>235</v>
      </c>
      <c r="E69" s="508" t="s">
        <v>371</v>
      </c>
      <c r="F69" s="509"/>
      <c r="G69" s="509"/>
      <c r="H69" s="509"/>
      <c r="I69" s="509"/>
      <c r="J69" s="509"/>
      <c r="K69" s="509"/>
      <c r="L69" s="509"/>
      <c r="M69" s="509"/>
      <c r="N69" s="509"/>
      <c r="O69" s="509"/>
      <c r="P69" s="509"/>
      <c r="Q69" s="509"/>
      <c r="R69" s="509"/>
      <c r="S69" s="509"/>
      <c r="T69" s="509"/>
      <c r="U69" s="510"/>
    </row>
    <row r="70" spans="2:21" ht="18" thickBot="1" x14ac:dyDescent="0.45">
      <c r="B70" s="497"/>
      <c r="C70" s="498"/>
      <c r="D70" s="357" t="s">
        <v>127</v>
      </c>
      <c r="E70" s="511" t="s">
        <v>372</v>
      </c>
      <c r="F70" s="512"/>
      <c r="G70" s="512"/>
      <c r="H70" s="512"/>
      <c r="I70" s="512"/>
      <c r="J70" s="512"/>
      <c r="K70" s="512"/>
      <c r="L70" s="512"/>
      <c r="M70" s="512"/>
      <c r="N70" s="512"/>
      <c r="O70" s="512"/>
      <c r="P70" s="512"/>
      <c r="Q70" s="512"/>
      <c r="R70" s="512"/>
      <c r="S70" s="512"/>
      <c r="T70" s="512"/>
      <c r="U70" s="513"/>
    </row>
    <row r="71" spans="2:21" ht="18" thickBot="1" x14ac:dyDescent="0.45">
      <c r="B71" s="497"/>
      <c r="C71" s="498"/>
      <c r="D71" s="352" t="s">
        <v>128</v>
      </c>
      <c r="E71" s="508" t="s">
        <v>373</v>
      </c>
      <c r="F71" s="509"/>
      <c r="G71" s="509"/>
      <c r="H71" s="509"/>
      <c r="I71" s="509"/>
      <c r="J71" s="509"/>
      <c r="K71" s="509"/>
      <c r="L71" s="509"/>
      <c r="M71" s="509"/>
      <c r="N71" s="509"/>
      <c r="O71" s="509"/>
      <c r="P71" s="509"/>
      <c r="Q71" s="509"/>
      <c r="R71" s="509"/>
      <c r="S71" s="509"/>
      <c r="T71" s="509"/>
      <c r="U71" s="510"/>
    </row>
    <row r="72" spans="2:21" ht="18" thickBot="1" x14ac:dyDescent="0.45">
      <c r="B72" s="497"/>
      <c r="C72" s="498"/>
      <c r="D72" s="357" t="s">
        <v>129</v>
      </c>
      <c r="E72" s="511" t="s">
        <v>374</v>
      </c>
      <c r="F72" s="512"/>
      <c r="G72" s="512"/>
      <c r="H72" s="512"/>
      <c r="I72" s="512"/>
      <c r="J72" s="512"/>
      <c r="K72" s="512"/>
      <c r="L72" s="512"/>
      <c r="M72" s="512"/>
      <c r="N72" s="512"/>
      <c r="O72" s="512"/>
      <c r="P72" s="512"/>
      <c r="Q72" s="512"/>
      <c r="R72" s="512"/>
      <c r="S72" s="512"/>
      <c r="T72" s="512"/>
      <c r="U72" s="513"/>
    </row>
    <row r="73" spans="2:21" ht="18" thickBot="1" x14ac:dyDescent="0.45">
      <c r="B73" s="497"/>
      <c r="C73" s="498"/>
      <c r="D73" s="352" t="s">
        <v>130</v>
      </c>
      <c r="E73" s="508" t="s">
        <v>375</v>
      </c>
      <c r="F73" s="509"/>
      <c r="G73" s="509"/>
      <c r="H73" s="509"/>
      <c r="I73" s="509"/>
      <c r="J73" s="509"/>
      <c r="K73" s="509"/>
      <c r="L73" s="509"/>
      <c r="M73" s="509"/>
      <c r="N73" s="509"/>
      <c r="O73" s="509"/>
      <c r="P73" s="509"/>
      <c r="Q73" s="509"/>
      <c r="R73" s="509"/>
      <c r="S73" s="509"/>
      <c r="T73" s="509"/>
      <c r="U73" s="510"/>
    </row>
    <row r="74" spans="2:21" ht="18" thickBot="1" x14ac:dyDescent="0.45">
      <c r="B74" s="497"/>
      <c r="C74" s="498"/>
      <c r="D74" s="357" t="s">
        <v>131</v>
      </c>
      <c r="E74" s="511" t="s">
        <v>376</v>
      </c>
      <c r="F74" s="512"/>
      <c r="G74" s="512"/>
      <c r="H74" s="512"/>
      <c r="I74" s="512"/>
      <c r="J74" s="512"/>
      <c r="K74" s="512"/>
      <c r="L74" s="512"/>
      <c r="M74" s="512"/>
      <c r="N74" s="512"/>
      <c r="O74" s="512"/>
      <c r="P74" s="512"/>
      <c r="Q74" s="512"/>
      <c r="R74" s="512"/>
      <c r="S74" s="512"/>
      <c r="T74" s="512"/>
      <c r="U74" s="513"/>
    </row>
    <row r="75" spans="2:21" ht="18" thickBot="1" x14ac:dyDescent="0.45">
      <c r="B75" s="497"/>
      <c r="C75" s="498"/>
      <c r="D75" s="352" t="s">
        <v>132</v>
      </c>
      <c r="E75" s="508" t="s">
        <v>377</v>
      </c>
      <c r="F75" s="509"/>
      <c r="G75" s="509"/>
      <c r="H75" s="509"/>
      <c r="I75" s="509"/>
      <c r="J75" s="509"/>
      <c r="K75" s="509"/>
      <c r="L75" s="509"/>
      <c r="M75" s="509"/>
      <c r="N75" s="509"/>
      <c r="O75" s="509"/>
      <c r="P75" s="509"/>
      <c r="Q75" s="509"/>
      <c r="R75" s="509"/>
      <c r="S75" s="509"/>
      <c r="T75" s="509"/>
      <c r="U75" s="510"/>
    </row>
    <row r="76" spans="2:21" ht="18" thickBot="1" x14ac:dyDescent="0.45">
      <c r="B76" s="497"/>
      <c r="C76" s="498"/>
      <c r="D76" s="357" t="s">
        <v>133</v>
      </c>
      <c r="E76" s="511" t="s">
        <v>411</v>
      </c>
      <c r="F76" s="512"/>
      <c r="G76" s="512"/>
      <c r="H76" s="512"/>
      <c r="I76" s="512"/>
      <c r="J76" s="512"/>
      <c r="K76" s="512"/>
      <c r="L76" s="512"/>
      <c r="M76" s="512"/>
      <c r="N76" s="512"/>
      <c r="O76" s="512"/>
      <c r="P76" s="512"/>
      <c r="Q76" s="512"/>
      <c r="R76" s="512"/>
      <c r="S76" s="512"/>
      <c r="T76" s="512"/>
      <c r="U76" s="513"/>
    </row>
    <row r="77" spans="2:21" ht="18" thickBot="1" x14ac:dyDescent="0.45">
      <c r="B77" s="497"/>
      <c r="C77" s="498"/>
      <c r="D77" s="352" t="s">
        <v>134</v>
      </c>
      <c r="E77" s="508" t="s">
        <v>378</v>
      </c>
      <c r="F77" s="509"/>
      <c r="G77" s="509"/>
      <c r="H77" s="509"/>
      <c r="I77" s="509"/>
      <c r="J77" s="509"/>
      <c r="K77" s="509"/>
      <c r="L77" s="509"/>
      <c r="M77" s="509"/>
      <c r="N77" s="509"/>
      <c r="O77" s="509"/>
      <c r="P77" s="509"/>
      <c r="Q77" s="509"/>
      <c r="R77" s="509"/>
      <c r="S77" s="509"/>
      <c r="T77" s="509"/>
      <c r="U77" s="510"/>
    </row>
    <row r="78" spans="2:21" ht="18" thickBot="1" x14ac:dyDescent="0.45">
      <c r="B78" s="499"/>
      <c r="C78" s="500"/>
      <c r="D78" s="357" t="s">
        <v>135</v>
      </c>
      <c r="E78" s="511" t="s">
        <v>379</v>
      </c>
      <c r="F78" s="512"/>
      <c r="G78" s="512"/>
      <c r="H78" s="512"/>
      <c r="I78" s="512"/>
      <c r="J78" s="512"/>
      <c r="K78" s="512"/>
      <c r="L78" s="512"/>
      <c r="M78" s="512"/>
      <c r="N78" s="512"/>
      <c r="O78" s="512"/>
      <c r="P78" s="512"/>
      <c r="Q78" s="512"/>
      <c r="R78" s="512"/>
      <c r="S78" s="512"/>
      <c r="T78" s="512"/>
      <c r="U78" s="513"/>
    </row>
    <row r="79" spans="2:21" ht="18" thickBot="1" x14ac:dyDescent="0.45">
      <c r="B79" s="495" t="s">
        <v>8</v>
      </c>
      <c r="C79" s="496"/>
      <c r="D79" s="352" t="s">
        <v>69</v>
      </c>
      <c r="E79" s="508" t="s">
        <v>380</v>
      </c>
      <c r="F79" s="509"/>
      <c r="G79" s="509"/>
      <c r="H79" s="509"/>
      <c r="I79" s="509"/>
      <c r="J79" s="509"/>
      <c r="K79" s="509"/>
      <c r="L79" s="509"/>
      <c r="M79" s="509"/>
      <c r="N79" s="509"/>
      <c r="O79" s="509"/>
      <c r="P79" s="509"/>
      <c r="Q79" s="509"/>
      <c r="R79" s="509"/>
      <c r="S79" s="509"/>
      <c r="T79" s="509"/>
      <c r="U79" s="510"/>
    </row>
    <row r="80" spans="2:21" ht="29.25" thickBot="1" x14ac:dyDescent="0.45">
      <c r="B80" s="497"/>
      <c r="C80" s="498"/>
      <c r="D80" s="357" t="s">
        <v>68</v>
      </c>
      <c r="E80" s="511" t="s">
        <v>381</v>
      </c>
      <c r="F80" s="512"/>
      <c r="G80" s="512"/>
      <c r="H80" s="512"/>
      <c r="I80" s="512"/>
      <c r="J80" s="512"/>
      <c r="K80" s="512"/>
      <c r="L80" s="512"/>
      <c r="M80" s="512"/>
      <c r="N80" s="512"/>
      <c r="O80" s="512"/>
      <c r="P80" s="512"/>
      <c r="Q80" s="512"/>
      <c r="R80" s="512"/>
      <c r="S80" s="512"/>
      <c r="T80" s="512"/>
      <c r="U80" s="513"/>
    </row>
    <row r="81" spans="2:21" ht="18" thickBot="1" x14ac:dyDescent="0.45">
      <c r="B81" s="495" t="s">
        <v>24</v>
      </c>
      <c r="C81" s="496"/>
      <c r="D81" s="352" t="s">
        <v>58</v>
      </c>
      <c r="E81" s="508" t="s">
        <v>382</v>
      </c>
      <c r="F81" s="509"/>
      <c r="G81" s="509"/>
      <c r="H81" s="509"/>
      <c r="I81" s="509"/>
      <c r="J81" s="509"/>
      <c r="K81" s="509"/>
      <c r="L81" s="509"/>
      <c r="M81" s="509"/>
      <c r="N81" s="509"/>
      <c r="O81" s="509"/>
      <c r="P81" s="509"/>
      <c r="Q81" s="509"/>
      <c r="R81" s="509"/>
      <c r="S81" s="509"/>
      <c r="T81" s="509"/>
      <c r="U81" s="510"/>
    </row>
    <row r="82" spans="2:21" ht="18" thickBot="1" x14ac:dyDescent="0.45">
      <c r="B82" s="497"/>
      <c r="C82" s="498"/>
      <c r="D82" s="357" t="s">
        <v>136</v>
      </c>
      <c r="E82" s="511" t="s">
        <v>383</v>
      </c>
      <c r="F82" s="512"/>
      <c r="G82" s="512"/>
      <c r="H82" s="512"/>
      <c r="I82" s="512"/>
      <c r="J82" s="512"/>
      <c r="K82" s="512"/>
      <c r="L82" s="512"/>
      <c r="M82" s="512"/>
      <c r="N82" s="512"/>
      <c r="O82" s="512"/>
      <c r="P82" s="512"/>
      <c r="Q82" s="512"/>
      <c r="R82" s="512"/>
      <c r="S82" s="512"/>
      <c r="T82" s="512"/>
      <c r="U82" s="513"/>
    </row>
    <row r="83" spans="2:21" ht="18" thickBot="1" x14ac:dyDescent="0.45">
      <c r="B83" s="497"/>
      <c r="C83" s="498"/>
      <c r="D83" s="358" t="s">
        <v>137</v>
      </c>
      <c r="E83" s="523" t="s">
        <v>384</v>
      </c>
      <c r="F83" s="524"/>
      <c r="G83" s="524"/>
      <c r="H83" s="524"/>
      <c r="I83" s="524"/>
      <c r="J83" s="524"/>
      <c r="K83" s="524"/>
      <c r="L83" s="524"/>
      <c r="M83" s="524"/>
      <c r="N83" s="524"/>
      <c r="O83" s="524"/>
      <c r="P83" s="524"/>
      <c r="Q83" s="524"/>
      <c r="R83" s="524"/>
      <c r="S83" s="524"/>
      <c r="T83" s="524"/>
      <c r="U83" s="525"/>
    </row>
    <row r="84" spans="2:21" ht="18" thickBot="1" x14ac:dyDescent="0.45">
      <c r="B84" s="497"/>
      <c r="C84" s="498"/>
      <c r="D84" s="359" t="s">
        <v>282</v>
      </c>
      <c r="E84" s="517" t="s">
        <v>385</v>
      </c>
      <c r="F84" s="518"/>
      <c r="G84" s="518"/>
      <c r="H84" s="518"/>
      <c r="I84" s="518"/>
      <c r="J84" s="518"/>
      <c r="K84" s="518"/>
      <c r="L84" s="518"/>
      <c r="M84" s="518"/>
      <c r="N84" s="518"/>
      <c r="O84" s="518"/>
      <c r="P84" s="518"/>
      <c r="Q84" s="518"/>
      <c r="R84" s="518"/>
      <c r="S84" s="518"/>
      <c r="T84" s="518"/>
      <c r="U84" s="519"/>
    </row>
    <row r="85" spans="2:21" ht="18" thickBot="1" x14ac:dyDescent="0.45">
      <c r="B85" s="497"/>
      <c r="C85" s="498"/>
      <c r="D85" s="360" t="s">
        <v>283</v>
      </c>
      <c r="E85" s="514" t="s">
        <v>386</v>
      </c>
      <c r="F85" s="515"/>
      <c r="G85" s="515"/>
      <c r="H85" s="515"/>
      <c r="I85" s="515"/>
      <c r="J85" s="515"/>
      <c r="K85" s="515"/>
      <c r="L85" s="515"/>
      <c r="M85" s="515"/>
      <c r="N85" s="515"/>
      <c r="O85" s="515"/>
      <c r="P85" s="515"/>
      <c r="Q85" s="515"/>
      <c r="R85" s="515"/>
      <c r="S85" s="515"/>
      <c r="T85" s="515"/>
      <c r="U85" s="516"/>
    </row>
    <row r="86" spans="2:21" ht="18" thickBot="1" x14ac:dyDescent="0.45">
      <c r="B86" s="497"/>
      <c r="C86" s="498"/>
      <c r="D86" s="361" t="s">
        <v>138</v>
      </c>
      <c r="E86" s="517" t="s">
        <v>387</v>
      </c>
      <c r="F86" s="518"/>
      <c r="G86" s="518"/>
      <c r="H86" s="518"/>
      <c r="I86" s="518"/>
      <c r="J86" s="518"/>
      <c r="K86" s="518"/>
      <c r="L86" s="518"/>
      <c r="M86" s="518"/>
      <c r="N86" s="518"/>
      <c r="O86" s="518"/>
      <c r="P86" s="518"/>
      <c r="Q86" s="518"/>
      <c r="R86" s="518"/>
      <c r="S86" s="518"/>
      <c r="T86" s="518"/>
      <c r="U86" s="519"/>
    </row>
    <row r="87" spans="2:21" ht="18" thickBot="1" x14ac:dyDescent="0.45">
      <c r="B87" s="497"/>
      <c r="C87" s="498"/>
      <c r="D87" s="360" t="s">
        <v>35</v>
      </c>
      <c r="E87" s="514" t="s">
        <v>388</v>
      </c>
      <c r="F87" s="515"/>
      <c r="G87" s="515"/>
      <c r="H87" s="515"/>
      <c r="I87" s="515"/>
      <c r="J87" s="515"/>
      <c r="K87" s="515"/>
      <c r="L87" s="515"/>
      <c r="M87" s="515"/>
      <c r="N87" s="515"/>
      <c r="O87" s="515"/>
      <c r="P87" s="515"/>
      <c r="Q87" s="515"/>
      <c r="R87" s="515"/>
      <c r="S87" s="515"/>
      <c r="T87" s="515"/>
      <c r="U87" s="516"/>
    </row>
    <row r="88" spans="2:21" ht="18" thickBot="1" x14ac:dyDescent="0.45">
      <c r="B88" s="497"/>
      <c r="C88" s="498"/>
      <c r="D88" s="361" t="s">
        <v>139</v>
      </c>
      <c r="E88" s="517" t="s">
        <v>389</v>
      </c>
      <c r="F88" s="518"/>
      <c r="G88" s="518"/>
      <c r="H88" s="518"/>
      <c r="I88" s="518"/>
      <c r="J88" s="518"/>
      <c r="K88" s="518"/>
      <c r="L88" s="518"/>
      <c r="M88" s="518"/>
      <c r="N88" s="518"/>
      <c r="O88" s="518"/>
      <c r="P88" s="518"/>
      <c r="Q88" s="518"/>
      <c r="R88" s="518"/>
      <c r="S88" s="518"/>
      <c r="T88" s="518"/>
      <c r="U88" s="519"/>
    </row>
    <row r="89" spans="2:21" ht="18" thickBot="1" x14ac:dyDescent="0.45">
      <c r="B89" s="497"/>
      <c r="C89" s="498"/>
      <c r="D89" s="360" t="s">
        <v>140</v>
      </c>
      <c r="E89" s="514" t="s">
        <v>390</v>
      </c>
      <c r="F89" s="515"/>
      <c r="G89" s="515"/>
      <c r="H89" s="515"/>
      <c r="I89" s="515"/>
      <c r="J89" s="515"/>
      <c r="K89" s="515"/>
      <c r="L89" s="515"/>
      <c r="M89" s="515"/>
      <c r="N89" s="515"/>
      <c r="O89" s="515"/>
      <c r="P89" s="515"/>
      <c r="Q89" s="515"/>
      <c r="R89" s="515"/>
      <c r="S89" s="515"/>
      <c r="T89" s="515"/>
      <c r="U89" s="516"/>
    </row>
    <row r="90" spans="2:21" ht="18" thickBot="1" x14ac:dyDescent="0.45">
      <c r="B90" s="497"/>
      <c r="C90" s="498"/>
      <c r="D90" s="361" t="s">
        <v>141</v>
      </c>
      <c r="E90" s="517" t="s">
        <v>391</v>
      </c>
      <c r="F90" s="518"/>
      <c r="G90" s="518"/>
      <c r="H90" s="518"/>
      <c r="I90" s="518"/>
      <c r="J90" s="518"/>
      <c r="K90" s="518"/>
      <c r="L90" s="518"/>
      <c r="M90" s="518"/>
      <c r="N90" s="518"/>
      <c r="O90" s="518"/>
      <c r="P90" s="518"/>
      <c r="Q90" s="518"/>
      <c r="R90" s="518"/>
      <c r="S90" s="518"/>
      <c r="T90" s="518"/>
      <c r="U90" s="519"/>
    </row>
    <row r="91" spans="2:21" ht="18" thickBot="1" x14ac:dyDescent="0.45">
      <c r="B91" s="497"/>
      <c r="C91" s="498"/>
      <c r="D91" s="360" t="s">
        <v>142</v>
      </c>
      <c r="E91" s="514" t="s">
        <v>392</v>
      </c>
      <c r="F91" s="515"/>
      <c r="G91" s="515"/>
      <c r="H91" s="515"/>
      <c r="I91" s="515"/>
      <c r="J91" s="515"/>
      <c r="K91" s="515"/>
      <c r="L91" s="515"/>
      <c r="M91" s="515"/>
      <c r="N91" s="515"/>
      <c r="O91" s="515"/>
      <c r="P91" s="515"/>
      <c r="Q91" s="515"/>
      <c r="R91" s="515"/>
      <c r="S91" s="515"/>
      <c r="T91" s="515"/>
      <c r="U91" s="516"/>
    </row>
    <row r="92" spans="2:21" ht="18" thickBot="1" x14ac:dyDescent="0.45">
      <c r="B92" s="497"/>
      <c r="C92" s="498"/>
      <c r="D92" s="361" t="s">
        <v>41</v>
      </c>
      <c r="E92" s="517" t="s">
        <v>393</v>
      </c>
      <c r="F92" s="518"/>
      <c r="G92" s="518"/>
      <c r="H92" s="518"/>
      <c r="I92" s="518"/>
      <c r="J92" s="518"/>
      <c r="K92" s="518"/>
      <c r="L92" s="518"/>
      <c r="M92" s="518"/>
      <c r="N92" s="518"/>
      <c r="O92" s="518"/>
      <c r="P92" s="518"/>
      <c r="Q92" s="518"/>
      <c r="R92" s="518"/>
      <c r="S92" s="518"/>
      <c r="T92" s="518"/>
      <c r="U92" s="519"/>
    </row>
    <row r="93" spans="2:21" ht="18" thickBot="1" x14ac:dyDescent="0.45">
      <c r="B93" s="497"/>
      <c r="C93" s="498"/>
      <c r="D93" s="360" t="s">
        <v>143</v>
      </c>
      <c r="E93" s="514" t="s">
        <v>394</v>
      </c>
      <c r="F93" s="515"/>
      <c r="G93" s="515"/>
      <c r="H93" s="515"/>
      <c r="I93" s="515"/>
      <c r="J93" s="515"/>
      <c r="K93" s="515"/>
      <c r="L93" s="515"/>
      <c r="M93" s="515"/>
      <c r="N93" s="515"/>
      <c r="O93" s="515"/>
      <c r="P93" s="515"/>
      <c r="Q93" s="515"/>
      <c r="R93" s="515"/>
      <c r="S93" s="515"/>
      <c r="T93" s="515"/>
      <c r="U93" s="516"/>
    </row>
    <row r="94" spans="2:21" ht="18" thickBot="1" x14ac:dyDescent="0.45">
      <c r="B94" s="497"/>
      <c r="C94" s="498"/>
      <c r="D94" s="361" t="s">
        <v>144</v>
      </c>
      <c r="E94" s="517" t="s">
        <v>395</v>
      </c>
      <c r="F94" s="518"/>
      <c r="G94" s="518"/>
      <c r="H94" s="518"/>
      <c r="I94" s="518"/>
      <c r="J94" s="518"/>
      <c r="K94" s="518"/>
      <c r="L94" s="518"/>
      <c r="M94" s="518"/>
      <c r="N94" s="518"/>
      <c r="O94" s="518"/>
      <c r="P94" s="518"/>
      <c r="Q94" s="518"/>
      <c r="R94" s="518"/>
      <c r="S94" s="518"/>
      <c r="T94" s="518"/>
      <c r="U94" s="519"/>
    </row>
    <row r="95" spans="2:21" ht="18" thickBot="1" x14ac:dyDescent="0.45">
      <c r="B95" s="497"/>
      <c r="C95" s="498"/>
      <c r="D95" s="360" t="s">
        <v>145</v>
      </c>
      <c r="E95" s="514" t="s">
        <v>396</v>
      </c>
      <c r="F95" s="515"/>
      <c r="G95" s="515"/>
      <c r="H95" s="515"/>
      <c r="I95" s="515"/>
      <c r="J95" s="515"/>
      <c r="K95" s="515"/>
      <c r="L95" s="515"/>
      <c r="M95" s="515"/>
      <c r="N95" s="515"/>
      <c r="O95" s="515"/>
      <c r="P95" s="515"/>
      <c r="Q95" s="515"/>
      <c r="R95" s="515"/>
      <c r="S95" s="515"/>
      <c r="T95" s="515"/>
      <c r="U95" s="516"/>
    </row>
    <row r="96" spans="2:21" ht="18" thickBot="1" x14ac:dyDescent="0.45">
      <c r="B96" s="497"/>
      <c r="C96" s="498"/>
      <c r="D96" s="362" t="s">
        <v>146</v>
      </c>
      <c r="E96" s="517" t="s">
        <v>397</v>
      </c>
      <c r="F96" s="518"/>
      <c r="G96" s="518"/>
      <c r="H96" s="518"/>
      <c r="I96" s="518"/>
      <c r="J96" s="518"/>
      <c r="K96" s="518"/>
      <c r="L96" s="518"/>
      <c r="M96" s="518"/>
      <c r="N96" s="518"/>
      <c r="O96" s="518"/>
      <c r="P96" s="518"/>
      <c r="Q96" s="518"/>
      <c r="R96" s="518"/>
      <c r="S96" s="518"/>
      <c r="T96" s="518"/>
      <c r="U96" s="519"/>
    </row>
    <row r="97" spans="2:21" ht="18" thickBot="1" x14ac:dyDescent="0.45">
      <c r="B97" s="497"/>
      <c r="C97" s="498"/>
      <c r="D97" s="363" t="s">
        <v>284</v>
      </c>
      <c r="E97" s="520" t="s">
        <v>385</v>
      </c>
      <c r="F97" s="521"/>
      <c r="G97" s="521"/>
      <c r="H97" s="521"/>
      <c r="I97" s="521"/>
      <c r="J97" s="521"/>
      <c r="K97" s="521"/>
      <c r="L97" s="521"/>
      <c r="M97" s="521"/>
      <c r="N97" s="521"/>
      <c r="O97" s="521"/>
      <c r="P97" s="521"/>
      <c r="Q97" s="521"/>
      <c r="R97" s="521"/>
      <c r="S97" s="521"/>
      <c r="T97" s="521"/>
      <c r="U97" s="522"/>
    </row>
    <row r="98" spans="2:21" ht="18" thickBot="1" x14ac:dyDescent="0.45">
      <c r="B98" s="497"/>
      <c r="C98" s="498"/>
      <c r="D98" s="357" t="s">
        <v>285</v>
      </c>
      <c r="E98" s="511" t="s">
        <v>386</v>
      </c>
      <c r="F98" s="512"/>
      <c r="G98" s="512"/>
      <c r="H98" s="512"/>
      <c r="I98" s="512"/>
      <c r="J98" s="512"/>
      <c r="K98" s="512"/>
      <c r="L98" s="512"/>
      <c r="M98" s="512"/>
      <c r="N98" s="512"/>
      <c r="O98" s="512"/>
      <c r="P98" s="512"/>
      <c r="Q98" s="512"/>
      <c r="R98" s="512"/>
      <c r="S98" s="512"/>
      <c r="T98" s="512"/>
      <c r="U98" s="513"/>
    </row>
    <row r="99" spans="2:21" ht="18" thickBot="1" x14ac:dyDescent="0.45">
      <c r="B99" s="497"/>
      <c r="C99" s="498"/>
      <c r="D99" s="352" t="s">
        <v>147</v>
      </c>
      <c r="E99" s="508" t="s">
        <v>387</v>
      </c>
      <c r="F99" s="509"/>
      <c r="G99" s="509"/>
      <c r="H99" s="509"/>
      <c r="I99" s="509"/>
      <c r="J99" s="509"/>
      <c r="K99" s="509"/>
      <c r="L99" s="509"/>
      <c r="M99" s="509"/>
      <c r="N99" s="509"/>
      <c r="O99" s="509"/>
      <c r="P99" s="509"/>
      <c r="Q99" s="509"/>
      <c r="R99" s="509"/>
      <c r="S99" s="509"/>
      <c r="T99" s="509"/>
      <c r="U99" s="510"/>
    </row>
    <row r="100" spans="2:21" ht="18" thickBot="1" x14ac:dyDescent="0.45">
      <c r="B100" s="497"/>
      <c r="C100" s="498"/>
      <c r="D100" s="357" t="s">
        <v>36</v>
      </c>
      <c r="E100" s="511" t="s">
        <v>398</v>
      </c>
      <c r="F100" s="512"/>
      <c r="G100" s="512"/>
      <c r="H100" s="512"/>
      <c r="I100" s="512"/>
      <c r="J100" s="512"/>
      <c r="K100" s="512"/>
      <c r="L100" s="512"/>
      <c r="M100" s="512"/>
      <c r="N100" s="512"/>
      <c r="O100" s="512"/>
      <c r="P100" s="512"/>
      <c r="Q100" s="512"/>
      <c r="R100" s="512"/>
      <c r="S100" s="512"/>
      <c r="T100" s="512"/>
      <c r="U100" s="513"/>
    </row>
    <row r="101" spans="2:21" ht="18" thickBot="1" x14ac:dyDescent="0.45">
      <c r="B101" s="497"/>
      <c r="C101" s="498"/>
      <c r="D101" s="352" t="s">
        <v>148</v>
      </c>
      <c r="E101" s="508" t="s">
        <v>389</v>
      </c>
      <c r="F101" s="509"/>
      <c r="G101" s="509"/>
      <c r="H101" s="509"/>
      <c r="I101" s="509"/>
      <c r="J101" s="509"/>
      <c r="K101" s="509"/>
      <c r="L101" s="509"/>
      <c r="M101" s="509"/>
      <c r="N101" s="509"/>
      <c r="O101" s="509"/>
      <c r="P101" s="509"/>
      <c r="Q101" s="509"/>
      <c r="R101" s="509"/>
      <c r="S101" s="509"/>
      <c r="T101" s="509"/>
      <c r="U101" s="510"/>
    </row>
    <row r="102" spans="2:21" ht="18" thickBot="1" x14ac:dyDescent="0.45">
      <c r="B102" s="497"/>
      <c r="C102" s="498"/>
      <c r="D102" s="357" t="s">
        <v>149</v>
      </c>
      <c r="E102" s="511" t="s">
        <v>390</v>
      </c>
      <c r="F102" s="512"/>
      <c r="G102" s="512"/>
      <c r="H102" s="512"/>
      <c r="I102" s="512"/>
      <c r="J102" s="512"/>
      <c r="K102" s="512"/>
      <c r="L102" s="512"/>
      <c r="M102" s="512"/>
      <c r="N102" s="512"/>
      <c r="O102" s="512"/>
      <c r="P102" s="512"/>
      <c r="Q102" s="512"/>
      <c r="R102" s="512"/>
      <c r="S102" s="512"/>
      <c r="T102" s="512"/>
      <c r="U102" s="513"/>
    </row>
    <row r="103" spans="2:21" ht="18" thickBot="1" x14ac:dyDescent="0.45">
      <c r="B103" s="497"/>
      <c r="C103" s="498"/>
      <c r="D103" s="352" t="s">
        <v>150</v>
      </c>
      <c r="E103" s="508" t="s">
        <v>391</v>
      </c>
      <c r="F103" s="509"/>
      <c r="G103" s="509"/>
      <c r="H103" s="509"/>
      <c r="I103" s="509"/>
      <c r="J103" s="509"/>
      <c r="K103" s="509"/>
      <c r="L103" s="509"/>
      <c r="M103" s="509"/>
      <c r="N103" s="509"/>
      <c r="O103" s="509"/>
      <c r="P103" s="509"/>
      <c r="Q103" s="509"/>
      <c r="R103" s="509"/>
      <c r="S103" s="509"/>
      <c r="T103" s="509"/>
      <c r="U103" s="510"/>
    </row>
    <row r="104" spans="2:21" ht="18" thickBot="1" x14ac:dyDescent="0.45">
      <c r="B104" s="497"/>
      <c r="C104" s="498"/>
      <c r="D104" s="357" t="s">
        <v>142</v>
      </c>
      <c r="E104" s="511" t="s">
        <v>392</v>
      </c>
      <c r="F104" s="512"/>
      <c r="G104" s="512"/>
      <c r="H104" s="512"/>
      <c r="I104" s="512"/>
      <c r="J104" s="512"/>
      <c r="K104" s="512"/>
      <c r="L104" s="512"/>
      <c r="M104" s="512"/>
      <c r="N104" s="512"/>
      <c r="O104" s="512"/>
      <c r="P104" s="512"/>
      <c r="Q104" s="512"/>
      <c r="R104" s="512"/>
      <c r="S104" s="512"/>
      <c r="T104" s="512"/>
      <c r="U104" s="513"/>
    </row>
    <row r="105" spans="2:21" ht="18" thickBot="1" x14ac:dyDescent="0.45">
      <c r="B105" s="497"/>
      <c r="C105" s="498"/>
      <c r="D105" s="352" t="s">
        <v>42</v>
      </c>
      <c r="E105" s="508" t="s">
        <v>393</v>
      </c>
      <c r="F105" s="509"/>
      <c r="G105" s="509"/>
      <c r="H105" s="509"/>
      <c r="I105" s="509"/>
      <c r="J105" s="509"/>
      <c r="K105" s="509"/>
      <c r="L105" s="509"/>
      <c r="M105" s="509"/>
      <c r="N105" s="509"/>
      <c r="O105" s="509"/>
      <c r="P105" s="509"/>
      <c r="Q105" s="509"/>
      <c r="R105" s="509"/>
      <c r="S105" s="509"/>
      <c r="T105" s="509"/>
      <c r="U105" s="510"/>
    </row>
    <row r="106" spans="2:21" ht="18" thickBot="1" x14ac:dyDescent="0.45">
      <c r="B106" s="497"/>
      <c r="C106" s="498"/>
      <c r="D106" s="357" t="s">
        <v>151</v>
      </c>
      <c r="E106" s="511" t="s">
        <v>394</v>
      </c>
      <c r="F106" s="512"/>
      <c r="G106" s="512"/>
      <c r="H106" s="512"/>
      <c r="I106" s="512"/>
      <c r="J106" s="512"/>
      <c r="K106" s="512"/>
      <c r="L106" s="512"/>
      <c r="M106" s="512"/>
      <c r="N106" s="512"/>
      <c r="O106" s="512"/>
      <c r="P106" s="512"/>
      <c r="Q106" s="512"/>
      <c r="R106" s="512"/>
      <c r="S106" s="512"/>
      <c r="T106" s="512"/>
      <c r="U106" s="513"/>
    </row>
    <row r="107" spans="2:21" ht="18" thickBot="1" x14ac:dyDescent="0.45">
      <c r="B107" s="497"/>
      <c r="C107" s="498"/>
      <c r="D107" s="352" t="s">
        <v>152</v>
      </c>
      <c r="E107" s="508" t="s">
        <v>395</v>
      </c>
      <c r="F107" s="509"/>
      <c r="G107" s="509"/>
      <c r="H107" s="509"/>
      <c r="I107" s="509"/>
      <c r="J107" s="509"/>
      <c r="K107" s="509"/>
      <c r="L107" s="509"/>
      <c r="M107" s="509"/>
      <c r="N107" s="509"/>
      <c r="O107" s="509"/>
      <c r="P107" s="509"/>
      <c r="Q107" s="509"/>
      <c r="R107" s="509"/>
      <c r="S107" s="509"/>
      <c r="T107" s="509"/>
      <c r="U107" s="510"/>
    </row>
    <row r="108" spans="2:21" ht="18" thickBot="1" x14ac:dyDescent="0.45">
      <c r="B108" s="497"/>
      <c r="C108" s="498"/>
      <c r="D108" s="357" t="s">
        <v>153</v>
      </c>
      <c r="E108" s="511" t="s">
        <v>396</v>
      </c>
      <c r="F108" s="512"/>
      <c r="G108" s="512"/>
      <c r="H108" s="512"/>
      <c r="I108" s="512"/>
      <c r="J108" s="512"/>
      <c r="K108" s="512"/>
      <c r="L108" s="512"/>
      <c r="M108" s="512"/>
      <c r="N108" s="512"/>
      <c r="O108" s="512"/>
      <c r="P108" s="512"/>
      <c r="Q108" s="512"/>
      <c r="R108" s="512"/>
      <c r="S108" s="512"/>
      <c r="T108" s="512"/>
      <c r="U108" s="513"/>
    </row>
    <row r="109" spans="2:21" ht="18" thickBot="1" x14ac:dyDescent="0.45">
      <c r="B109" s="497"/>
      <c r="C109" s="498"/>
      <c r="D109" s="352" t="s">
        <v>154</v>
      </c>
      <c r="E109" s="508" t="s">
        <v>397</v>
      </c>
      <c r="F109" s="509"/>
      <c r="G109" s="509"/>
      <c r="H109" s="509"/>
      <c r="I109" s="509"/>
      <c r="J109" s="509"/>
      <c r="K109" s="509"/>
      <c r="L109" s="509"/>
      <c r="M109" s="509"/>
      <c r="N109" s="509"/>
      <c r="O109" s="509"/>
      <c r="P109" s="509"/>
      <c r="Q109" s="509"/>
      <c r="R109" s="509"/>
      <c r="S109" s="509"/>
      <c r="T109" s="509"/>
      <c r="U109" s="510"/>
    </row>
    <row r="110" spans="2:21" ht="18" thickBot="1" x14ac:dyDescent="0.45">
      <c r="B110" s="497"/>
      <c r="C110" s="498"/>
      <c r="D110" s="357" t="s">
        <v>286</v>
      </c>
      <c r="E110" s="511" t="s">
        <v>385</v>
      </c>
      <c r="F110" s="512"/>
      <c r="G110" s="512"/>
      <c r="H110" s="512"/>
      <c r="I110" s="512"/>
      <c r="J110" s="512"/>
      <c r="K110" s="512"/>
      <c r="L110" s="512"/>
      <c r="M110" s="512"/>
      <c r="N110" s="512"/>
      <c r="O110" s="512"/>
      <c r="P110" s="512"/>
      <c r="Q110" s="512"/>
      <c r="R110" s="512"/>
      <c r="S110" s="512"/>
      <c r="T110" s="512"/>
      <c r="U110" s="513"/>
    </row>
    <row r="111" spans="2:21" ht="18" thickBot="1" x14ac:dyDescent="0.45">
      <c r="B111" s="497"/>
      <c r="C111" s="498"/>
      <c r="D111" s="352" t="s">
        <v>287</v>
      </c>
      <c r="E111" s="508" t="s">
        <v>386</v>
      </c>
      <c r="F111" s="509"/>
      <c r="G111" s="509"/>
      <c r="H111" s="509"/>
      <c r="I111" s="509"/>
      <c r="J111" s="509"/>
      <c r="K111" s="509"/>
      <c r="L111" s="509"/>
      <c r="M111" s="509"/>
      <c r="N111" s="509"/>
      <c r="O111" s="509"/>
      <c r="P111" s="509"/>
      <c r="Q111" s="509"/>
      <c r="R111" s="509"/>
      <c r="S111" s="509"/>
      <c r="T111" s="509"/>
      <c r="U111" s="510"/>
    </row>
    <row r="112" spans="2:21" ht="18" thickBot="1" x14ac:dyDescent="0.45">
      <c r="B112" s="497"/>
      <c r="C112" s="498"/>
      <c r="D112" s="357" t="s">
        <v>155</v>
      </c>
      <c r="E112" s="511" t="s">
        <v>387</v>
      </c>
      <c r="F112" s="512"/>
      <c r="G112" s="512"/>
      <c r="H112" s="512"/>
      <c r="I112" s="512"/>
      <c r="J112" s="512"/>
      <c r="K112" s="512"/>
      <c r="L112" s="512"/>
      <c r="M112" s="512"/>
      <c r="N112" s="512"/>
      <c r="O112" s="512"/>
      <c r="P112" s="512"/>
      <c r="Q112" s="512"/>
      <c r="R112" s="512"/>
      <c r="S112" s="512"/>
      <c r="T112" s="512"/>
      <c r="U112" s="513"/>
    </row>
    <row r="113" spans="2:21" ht="18" thickBot="1" x14ac:dyDescent="0.45">
      <c r="B113" s="497"/>
      <c r="C113" s="498"/>
      <c r="D113" s="352" t="s">
        <v>37</v>
      </c>
      <c r="E113" s="508" t="s">
        <v>399</v>
      </c>
      <c r="F113" s="509"/>
      <c r="G113" s="509"/>
      <c r="H113" s="509"/>
      <c r="I113" s="509"/>
      <c r="J113" s="509"/>
      <c r="K113" s="509"/>
      <c r="L113" s="509"/>
      <c r="M113" s="509"/>
      <c r="N113" s="509"/>
      <c r="O113" s="509"/>
      <c r="P113" s="509"/>
      <c r="Q113" s="509"/>
      <c r="R113" s="509"/>
      <c r="S113" s="509"/>
      <c r="T113" s="509"/>
      <c r="U113" s="510"/>
    </row>
    <row r="114" spans="2:21" ht="18" thickBot="1" x14ac:dyDescent="0.45">
      <c r="B114" s="497"/>
      <c r="C114" s="498"/>
      <c r="D114" s="357" t="s">
        <v>156</v>
      </c>
      <c r="E114" s="511" t="s">
        <v>389</v>
      </c>
      <c r="F114" s="512"/>
      <c r="G114" s="512"/>
      <c r="H114" s="512"/>
      <c r="I114" s="512"/>
      <c r="J114" s="512"/>
      <c r="K114" s="512"/>
      <c r="L114" s="512"/>
      <c r="M114" s="512"/>
      <c r="N114" s="512"/>
      <c r="O114" s="512"/>
      <c r="P114" s="512"/>
      <c r="Q114" s="512"/>
      <c r="R114" s="512"/>
      <c r="S114" s="512"/>
      <c r="T114" s="512"/>
      <c r="U114" s="513"/>
    </row>
    <row r="115" spans="2:21" ht="18" thickBot="1" x14ac:dyDescent="0.45">
      <c r="B115" s="497"/>
      <c r="C115" s="498"/>
      <c r="D115" s="352" t="s">
        <v>157</v>
      </c>
      <c r="E115" s="508" t="s">
        <v>390</v>
      </c>
      <c r="F115" s="509"/>
      <c r="G115" s="509"/>
      <c r="H115" s="509"/>
      <c r="I115" s="509"/>
      <c r="J115" s="509"/>
      <c r="K115" s="509"/>
      <c r="L115" s="509"/>
      <c r="M115" s="509"/>
      <c r="N115" s="509"/>
      <c r="O115" s="509"/>
      <c r="P115" s="509"/>
      <c r="Q115" s="509"/>
      <c r="R115" s="509"/>
      <c r="S115" s="509"/>
      <c r="T115" s="509"/>
      <c r="U115" s="510"/>
    </row>
    <row r="116" spans="2:21" ht="18" thickBot="1" x14ac:dyDescent="0.45">
      <c r="B116" s="497"/>
      <c r="C116" s="498"/>
      <c r="D116" s="357" t="s">
        <v>158</v>
      </c>
      <c r="E116" s="511" t="s">
        <v>391</v>
      </c>
      <c r="F116" s="512"/>
      <c r="G116" s="512"/>
      <c r="H116" s="512"/>
      <c r="I116" s="512"/>
      <c r="J116" s="512"/>
      <c r="K116" s="512"/>
      <c r="L116" s="512"/>
      <c r="M116" s="512"/>
      <c r="N116" s="512"/>
      <c r="O116" s="512"/>
      <c r="P116" s="512"/>
      <c r="Q116" s="512"/>
      <c r="R116" s="512"/>
      <c r="S116" s="512"/>
      <c r="T116" s="512"/>
      <c r="U116" s="513"/>
    </row>
    <row r="117" spans="2:21" ht="18" thickBot="1" x14ac:dyDescent="0.45">
      <c r="B117" s="497"/>
      <c r="C117" s="498"/>
      <c r="D117" s="352" t="s">
        <v>142</v>
      </c>
      <c r="E117" s="508" t="s">
        <v>392</v>
      </c>
      <c r="F117" s="509"/>
      <c r="G117" s="509"/>
      <c r="H117" s="509"/>
      <c r="I117" s="509"/>
      <c r="J117" s="509"/>
      <c r="K117" s="509"/>
      <c r="L117" s="509"/>
      <c r="M117" s="509"/>
      <c r="N117" s="509"/>
      <c r="O117" s="509"/>
      <c r="P117" s="509"/>
      <c r="Q117" s="509"/>
      <c r="R117" s="509"/>
      <c r="S117" s="509"/>
      <c r="T117" s="509"/>
      <c r="U117" s="510"/>
    </row>
    <row r="118" spans="2:21" ht="18" thickBot="1" x14ac:dyDescent="0.45">
      <c r="B118" s="497"/>
      <c r="C118" s="498"/>
      <c r="D118" s="357" t="s">
        <v>43</v>
      </c>
      <c r="E118" s="511" t="s">
        <v>393</v>
      </c>
      <c r="F118" s="512"/>
      <c r="G118" s="512"/>
      <c r="H118" s="512"/>
      <c r="I118" s="512"/>
      <c r="J118" s="512"/>
      <c r="K118" s="512"/>
      <c r="L118" s="512"/>
      <c r="M118" s="512"/>
      <c r="N118" s="512"/>
      <c r="O118" s="512"/>
      <c r="P118" s="512"/>
      <c r="Q118" s="512"/>
      <c r="R118" s="512"/>
      <c r="S118" s="512"/>
      <c r="T118" s="512"/>
      <c r="U118" s="513"/>
    </row>
    <row r="119" spans="2:21" ht="18" thickBot="1" x14ac:dyDescent="0.45">
      <c r="B119" s="497"/>
      <c r="C119" s="498"/>
      <c r="D119" s="352" t="s">
        <v>159</v>
      </c>
      <c r="E119" s="508" t="s">
        <v>394</v>
      </c>
      <c r="F119" s="509"/>
      <c r="G119" s="509"/>
      <c r="H119" s="509"/>
      <c r="I119" s="509"/>
      <c r="J119" s="509"/>
      <c r="K119" s="509"/>
      <c r="L119" s="509"/>
      <c r="M119" s="509"/>
      <c r="N119" s="509"/>
      <c r="O119" s="509"/>
      <c r="P119" s="509"/>
      <c r="Q119" s="509"/>
      <c r="R119" s="509"/>
      <c r="S119" s="509"/>
      <c r="T119" s="509"/>
      <c r="U119" s="510"/>
    </row>
    <row r="120" spans="2:21" ht="18" thickBot="1" x14ac:dyDescent="0.45">
      <c r="B120" s="497"/>
      <c r="C120" s="498"/>
      <c r="D120" s="357" t="s">
        <v>160</v>
      </c>
      <c r="E120" s="511" t="s">
        <v>395</v>
      </c>
      <c r="F120" s="512"/>
      <c r="G120" s="512"/>
      <c r="H120" s="512"/>
      <c r="I120" s="512"/>
      <c r="J120" s="512"/>
      <c r="K120" s="512"/>
      <c r="L120" s="512"/>
      <c r="M120" s="512"/>
      <c r="N120" s="512"/>
      <c r="O120" s="512"/>
      <c r="P120" s="512"/>
      <c r="Q120" s="512"/>
      <c r="R120" s="512"/>
      <c r="S120" s="512"/>
      <c r="T120" s="512"/>
      <c r="U120" s="513"/>
    </row>
    <row r="121" spans="2:21" ht="18" thickBot="1" x14ac:dyDescent="0.45">
      <c r="B121" s="497"/>
      <c r="C121" s="498"/>
      <c r="D121" s="352" t="s">
        <v>161</v>
      </c>
      <c r="E121" s="508" t="s">
        <v>396</v>
      </c>
      <c r="F121" s="509"/>
      <c r="G121" s="509"/>
      <c r="H121" s="509"/>
      <c r="I121" s="509"/>
      <c r="J121" s="509"/>
      <c r="K121" s="509"/>
      <c r="L121" s="509"/>
      <c r="M121" s="509"/>
      <c r="N121" s="509"/>
      <c r="O121" s="509"/>
      <c r="P121" s="509"/>
      <c r="Q121" s="509"/>
      <c r="R121" s="509"/>
      <c r="S121" s="509"/>
      <c r="T121" s="509"/>
      <c r="U121" s="510"/>
    </row>
    <row r="122" spans="2:21" ht="18" thickBot="1" x14ac:dyDescent="0.45">
      <c r="B122" s="497"/>
      <c r="C122" s="498"/>
      <c r="D122" s="357" t="s">
        <v>162</v>
      </c>
      <c r="E122" s="511" t="s">
        <v>397</v>
      </c>
      <c r="F122" s="512"/>
      <c r="G122" s="512"/>
      <c r="H122" s="512"/>
      <c r="I122" s="512"/>
      <c r="J122" s="512"/>
      <c r="K122" s="512"/>
      <c r="L122" s="512"/>
      <c r="M122" s="512"/>
      <c r="N122" s="512"/>
      <c r="O122" s="512"/>
      <c r="P122" s="512"/>
      <c r="Q122" s="512"/>
      <c r="R122" s="512"/>
      <c r="S122" s="512"/>
      <c r="T122" s="512"/>
      <c r="U122" s="513"/>
    </row>
    <row r="123" spans="2:21" ht="18" thickBot="1" x14ac:dyDescent="0.45">
      <c r="B123" s="497"/>
      <c r="C123" s="498"/>
      <c r="D123" s="352" t="s">
        <v>288</v>
      </c>
      <c r="E123" s="508" t="s">
        <v>386</v>
      </c>
      <c r="F123" s="509"/>
      <c r="G123" s="509"/>
      <c r="H123" s="509"/>
      <c r="I123" s="509"/>
      <c r="J123" s="509"/>
      <c r="K123" s="509"/>
      <c r="L123" s="509"/>
      <c r="M123" s="509"/>
      <c r="N123" s="509"/>
      <c r="O123" s="509"/>
      <c r="P123" s="509"/>
      <c r="Q123" s="509"/>
      <c r="R123" s="509"/>
      <c r="S123" s="509"/>
      <c r="T123" s="509"/>
      <c r="U123" s="510"/>
    </row>
    <row r="124" spans="2:21" ht="18" thickBot="1" x14ac:dyDescent="0.45">
      <c r="B124" s="497"/>
      <c r="C124" s="498"/>
      <c r="D124" s="357" t="s">
        <v>289</v>
      </c>
      <c r="E124" s="511" t="s">
        <v>387</v>
      </c>
      <c r="F124" s="512"/>
      <c r="G124" s="512"/>
      <c r="H124" s="512"/>
      <c r="I124" s="512"/>
      <c r="J124" s="512"/>
      <c r="K124" s="512"/>
      <c r="L124" s="512"/>
      <c r="M124" s="512"/>
      <c r="N124" s="512"/>
      <c r="O124" s="512"/>
      <c r="P124" s="512"/>
      <c r="Q124" s="512"/>
      <c r="R124" s="512"/>
      <c r="S124" s="512"/>
      <c r="T124" s="512"/>
      <c r="U124" s="513"/>
    </row>
    <row r="125" spans="2:21" ht="18" thickBot="1" x14ac:dyDescent="0.45">
      <c r="B125" s="497"/>
      <c r="C125" s="498"/>
      <c r="D125" s="352" t="s">
        <v>163</v>
      </c>
      <c r="E125" s="508" t="s">
        <v>400</v>
      </c>
      <c r="F125" s="509"/>
      <c r="G125" s="509"/>
      <c r="H125" s="509"/>
      <c r="I125" s="509"/>
      <c r="J125" s="509"/>
      <c r="K125" s="509"/>
      <c r="L125" s="509"/>
      <c r="M125" s="509"/>
      <c r="N125" s="509"/>
      <c r="O125" s="509"/>
      <c r="P125" s="509"/>
      <c r="Q125" s="509"/>
      <c r="R125" s="509"/>
      <c r="S125" s="509"/>
      <c r="T125" s="509"/>
      <c r="U125" s="510"/>
    </row>
    <row r="126" spans="2:21" ht="18" thickBot="1" x14ac:dyDescent="0.45">
      <c r="B126" s="497"/>
      <c r="C126" s="498"/>
      <c r="D126" s="357" t="s">
        <v>164</v>
      </c>
      <c r="E126" s="511" t="s">
        <v>389</v>
      </c>
      <c r="F126" s="512"/>
      <c r="G126" s="512"/>
      <c r="H126" s="512"/>
      <c r="I126" s="512"/>
      <c r="J126" s="512"/>
      <c r="K126" s="512"/>
      <c r="L126" s="512"/>
      <c r="M126" s="512"/>
      <c r="N126" s="512"/>
      <c r="O126" s="512"/>
      <c r="P126" s="512"/>
      <c r="Q126" s="512"/>
      <c r="R126" s="512"/>
      <c r="S126" s="512"/>
      <c r="T126" s="512"/>
      <c r="U126" s="513"/>
    </row>
    <row r="127" spans="2:21" ht="18" thickBot="1" x14ac:dyDescent="0.45">
      <c r="B127" s="497"/>
      <c r="C127" s="498"/>
      <c r="D127" s="352" t="s">
        <v>165</v>
      </c>
      <c r="E127" s="508" t="s">
        <v>390</v>
      </c>
      <c r="F127" s="509"/>
      <c r="G127" s="509"/>
      <c r="H127" s="509"/>
      <c r="I127" s="509"/>
      <c r="J127" s="509"/>
      <c r="K127" s="509"/>
      <c r="L127" s="509"/>
      <c r="M127" s="509"/>
      <c r="N127" s="509"/>
      <c r="O127" s="509"/>
      <c r="P127" s="509"/>
      <c r="Q127" s="509"/>
      <c r="R127" s="509"/>
      <c r="S127" s="509"/>
      <c r="T127" s="509"/>
      <c r="U127" s="510"/>
    </row>
    <row r="128" spans="2:21" ht="18" thickBot="1" x14ac:dyDescent="0.45">
      <c r="B128" s="497"/>
      <c r="C128" s="498"/>
      <c r="D128" s="357" t="s">
        <v>166</v>
      </c>
      <c r="E128" s="511" t="s">
        <v>391</v>
      </c>
      <c r="F128" s="512"/>
      <c r="G128" s="512"/>
      <c r="H128" s="512"/>
      <c r="I128" s="512"/>
      <c r="J128" s="512"/>
      <c r="K128" s="512"/>
      <c r="L128" s="512"/>
      <c r="M128" s="512"/>
      <c r="N128" s="512"/>
      <c r="O128" s="512"/>
      <c r="P128" s="512"/>
      <c r="Q128" s="512"/>
      <c r="R128" s="512"/>
      <c r="S128" s="512"/>
      <c r="T128" s="512"/>
      <c r="U128" s="513"/>
    </row>
    <row r="129" spans="2:21" ht="18" thickBot="1" x14ac:dyDescent="0.45">
      <c r="B129" s="497"/>
      <c r="C129" s="498"/>
      <c r="D129" s="352" t="s">
        <v>167</v>
      </c>
      <c r="E129" s="508" t="s">
        <v>392</v>
      </c>
      <c r="F129" s="509"/>
      <c r="G129" s="509"/>
      <c r="H129" s="509"/>
      <c r="I129" s="509"/>
      <c r="J129" s="509"/>
      <c r="K129" s="509"/>
      <c r="L129" s="509"/>
      <c r="M129" s="509"/>
      <c r="N129" s="509"/>
      <c r="O129" s="509"/>
      <c r="P129" s="509"/>
      <c r="Q129" s="509"/>
      <c r="R129" s="509"/>
      <c r="S129" s="509"/>
      <c r="T129" s="509"/>
      <c r="U129" s="510"/>
    </row>
    <row r="130" spans="2:21" ht="18" thickBot="1" x14ac:dyDescent="0.45">
      <c r="B130" s="497"/>
      <c r="C130" s="498"/>
      <c r="D130" s="357" t="s">
        <v>168</v>
      </c>
      <c r="E130" s="511" t="s">
        <v>393</v>
      </c>
      <c r="F130" s="512"/>
      <c r="G130" s="512"/>
      <c r="H130" s="512"/>
      <c r="I130" s="512"/>
      <c r="J130" s="512"/>
      <c r="K130" s="512"/>
      <c r="L130" s="512"/>
      <c r="M130" s="512"/>
      <c r="N130" s="512"/>
      <c r="O130" s="512"/>
      <c r="P130" s="512"/>
      <c r="Q130" s="512"/>
      <c r="R130" s="512"/>
      <c r="S130" s="512"/>
      <c r="T130" s="512"/>
      <c r="U130" s="513"/>
    </row>
    <row r="131" spans="2:21" ht="18" thickBot="1" x14ac:dyDescent="0.45">
      <c r="B131" s="499"/>
      <c r="C131" s="500"/>
      <c r="D131" s="352" t="s">
        <v>169</v>
      </c>
      <c r="E131" s="508" t="s">
        <v>394</v>
      </c>
      <c r="F131" s="509"/>
      <c r="G131" s="509"/>
      <c r="H131" s="509"/>
      <c r="I131" s="509"/>
      <c r="J131" s="509"/>
      <c r="K131" s="509"/>
      <c r="L131" s="509"/>
      <c r="M131" s="509"/>
      <c r="N131" s="509"/>
      <c r="O131" s="509"/>
      <c r="P131" s="509"/>
      <c r="Q131" s="509"/>
      <c r="R131" s="509"/>
      <c r="S131" s="509"/>
      <c r="T131" s="509"/>
      <c r="U131" s="510"/>
    </row>
    <row r="132" spans="2:21" ht="29.25" thickBot="1" x14ac:dyDescent="0.45">
      <c r="B132" s="495" t="s">
        <v>170</v>
      </c>
      <c r="C132" s="496"/>
      <c r="D132" s="357" t="s">
        <v>171</v>
      </c>
      <c r="E132" s="511" t="s">
        <v>401</v>
      </c>
      <c r="F132" s="512"/>
      <c r="G132" s="512"/>
      <c r="H132" s="512"/>
      <c r="I132" s="512"/>
      <c r="J132" s="512"/>
      <c r="K132" s="512"/>
      <c r="L132" s="512"/>
      <c r="M132" s="512"/>
      <c r="N132" s="512"/>
      <c r="O132" s="512"/>
      <c r="P132" s="512"/>
      <c r="Q132" s="512"/>
      <c r="R132" s="512"/>
      <c r="S132" s="512"/>
      <c r="T132" s="512"/>
      <c r="U132" s="513"/>
    </row>
    <row r="133" spans="2:21" ht="29.25" thickBot="1" x14ac:dyDescent="0.45">
      <c r="B133" s="497"/>
      <c r="C133" s="498"/>
      <c r="D133" s="352" t="s">
        <v>172</v>
      </c>
      <c r="E133" s="508" t="s">
        <v>402</v>
      </c>
      <c r="F133" s="509"/>
      <c r="G133" s="509"/>
      <c r="H133" s="509"/>
      <c r="I133" s="509"/>
      <c r="J133" s="509"/>
      <c r="K133" s="509"/>
      <c r="L133" s="509"/>
      <c r="M133" s="509"/>
      <c r="N133" s="509"/>
      <c r="O133" s="509"/>
      <c r="P133" s="509"/>
      <c r="Q133" s="509"/>
      <c r="R133" s="509"/>
      <c r="S133" s="509"/>
      <c r="T133" s="509"/>
      <c r="U133" s="510"/>
    </row>
    <row r="134" spans="2:21" ht="18" thickBot="1" x14ac:dyDescent="0.45">
      <c r="B134" s="497"/>
      <c r="C134" s="498"/>
      <c r="D134" s="357" t="s">
        <v>173</v>
      </c>
      <c r="E134" s="511" t="s">
        <v>403</v>
      </c>
      <c r="F134" s="512"/>
      <c r="G134" s="512"/>
      <c r="H134" s="512"/>
      <c r="I134" s="512"/>
      <c r="J134" s="512"/>
      <c r="K134" s="512"/>
      <c r="L134" s="512"/>
      <c r="M134" s="512"/>
      <c r="N134" s="512"/>
      <c r="O134" s="512"/>
      <c r="P134" s="512"/>
      <c r="Q134" s="512"/>
      <c r="R134" s="512"/>
      <c r="S134" s="512"/>
      <c r="T134" s="512"/>
      <c r="U134" s="513"/>
    </row>
    <row r="135" spans="2:21" ht="43.5" thickBot="1" x14ac:dyDescent="0.45">
      <c r="B135" s="499"/>
      <c r="C135" s="500"/>
      <c r="D135" s="352" t="s">
        <v>220</v>
      </c>
      <c r="E135" s="508" t="s">
        <v>404</v>
      </c>
      <c r="F135" s="509"/>
      <c r="G135" s="509"/>
      <c r="H135" s="509"/>
      <c r="I135" s="509"/>
      <c r="J135" s="509"/>
      <c r="K135" s="509"/>
      <c r="L135" s="509"/>
      <c r="M135" s="509"/>
      <c r="N135" s="509"/>
      <c r="O135" s="509"/>
      <c r="P135" s="509"/>
      <c r="Q135" s="509"/>
      <c r="R135" s="509"/>
      <c r="S135" s="509"/>
      <c r="T135" s="509"/>
      <c r="U135" s="510"/>
    </row>
    <row r="136" spans="2:21" ht="18" thickBot="1" x14ac:dyDescent="0.45">
      <c r="B136" s="495" t="s">
        <v>40</v>
      </c>
      <c r="C136" s="496"/>
      <c r="D136" s="357" t="s">
        <v>44</v>
      </c>
      <c r="E136" s="511" t="s">
        <v>390</v>
      </c>
      <c r="F136" s="512"/>
      <c r="G136" s="512"/>
      <c r="H136" s="512"/>
      <c r="I136" s="512"/>
      <c r="J136" s="512"/>
      <c r="K136" s="512"/>
      <c r="L136" s="512"/>
      <c r="M136" s="512"/>
      <c r="N136" s="512"/>
      <c r="O136" s="512"/>
      <c r="P136" s="512"/>
      <c r="Q136" s="512"/>
      <c r="R136" s="512"/>
      <c r="S136" s="512"/>
      <c r="T136" s="512"/>
      <c r="U136" s="513"/>
    </row>
    <row r="137" spans="2:21" ht="18" thickBot="1" x14ac:dyDescent="0.45">
      <c r="B137" s="497"/>
      <c r="C137" s="498"/>
      <c r="D137" s="352" t="s">
        <v>20</v>
      </c>
      <c r="E137" s="508" t="s">
        <v>405</v>
      </c>
      <c r="F137" s="509"/>
      <c r="G137" s="509"/>
      <c r="H137" s="509"/>
      <c r="I137" s="509"/>
      <c r="J137" s="509"/>
      <c r="K137" s="509"/>
      <c r="L137" s="509"/>
      <c r="M137" s="509"/>
      <c r="N137" s="509"/>
      <c r="O137" s="509"/>
      <c r="P137" s="509"/>
      <c r="Q137" s="509"/>
      <c r="R137" s="509"/>
      <c r="S137" s="509"/>
      <c r="T137" s="509"/>
      <c r="U137" s="510"/>
    </row>
    <row r="138" spans="2:21" ht="29.25" thickBot="1" x14ac:dyDescent="0.45">
      <c r="B138" s="497"/>
      <c r="C138" s="498"/>
      <c r="D138" s="357" t="s">
        <v>64</v>
      </c>
      <c r="E138" s="511" t="s">
        <v>406</v>
      </c>
      <c r="F138" s="512"/>
      <c r="G138" s="512"/>
      <c r="H138" s="512"/>
      <c r="I138" s="512"/>
      <c r="J138" s="512"/>
      <c r="K138" s="512"/>
      <c r="L138" s="512"/>
      <c r="M138" s="512"/>
      <c r="N138" s="512"/>
      <c r="O138" s="512"/>
      <c r="P138" s="512"/>
      <c r="Q138" s="512"/>
      <c r="R138" s="512"/>
      <c r="S138" s="512"/>
      <c r="T138" s="512"/>
      <c r="U138" s="513"/>
    </row>
    <row r="139" spans="2:21" ht="18" thickBot="1" x14ac:dyDescent="0.45">
      <c r="B139" s="497"/>
      <c r="C139" s="498"/>
      <c r="D139" s="352" t="s">
        <v>25</v>
      </c>
      <c r="E139" s="508" t="s">
        <v>407</v>
      </c>
      <c r="F139" s="509"/>
      <c r="G139" s="509"/>
      <c r="H139" s="509"/>
      <c r="I139" s="509"/>
      <c r="J139" s="509"/>
      <c r="K139" s="509"/>
      <c r="L139" s="509"/>
      <c r="M139" s="509"/>
      <c r="N139" s="509"/>
      <c r="O139" s="509"/>
      <c r="P139" s="509"/>
      <c r="Q139" s="509"/>
      <c r="R139" s="509"/>
      <c r="S139" s="509"/>
      <c r="T139" s="509"/>
      <c r="U139" s="510"/>
    </row>
    <row r="140" spans="2:21" ht="18" thickBot="1" x14ac:dyDescent="0.45">
      <c r="B140" s="497"/>
      <c r="C140" s="498"/>
      <c r="D140" s="357" t="s">
        <v>45</v>
      </c>
      <c r="E140" s="511" t="s">
        <v>390</v>
      </c>
      <c r="F140" s="512"/>
      <c r="G140" s="512"/>
      <c r="H140" s="512"/>
      <c r="I140" s="512"/>
      <c r="J140" s="512"/>
      <c r="K140" s="512"/>
      <c r="L140" s="512"/>
      <c r="M140" s="512"/>
      <c r="N140" s="512"/>
      <c r="O140" s="512"/>
      <c r="P140" s="512"/>
      <c r="Q140" s="512"/>
      <c r="R140" s="512"/>
      <c r="S140" s="512"/>
      <c r="T140" s="512"/>
      <c r="U140" s="513"/>
    </row>
    <row r="141" spans="2:21" ht="18" thickBot="1" x14ac:dyDescent="0.45">
      <c r="B141" s="497"/>
      <c r="C141" s="498"/>
      <c r="D141" s="352" t="s">
        <v>46</v>
      </c>
      <c r="E141" s="508" t="s">
        <v>405</v>
      </c>
      <c r="F141" s="509"/>
      <c r="G141" s="509"/>
      <c r="H141" s="509"/>
      <c r="I141" s="509"/>
      <c r="J141" s="509"/>
      <c r="K141" s="509"/>
      <c r="L141" s="509"/>
      <c r="M141" s="509"/>
      <c r="N141" s="509"/>
      <c r="O141" s="509"/>
      <c r="P141" s="509"/>
      <c r="Q141" s="509"/>
      <c r="R141" s="509"/>
      <c r="S141" s="509"/>
      <c r="T141" s="509"/>
      <c r="U141" s="510"/>
    </row>
    <row r="142" spans="2:21" ht="29.25" thickBot="1" x14ac:dyDescent="0.45">
      <c r="B142" s="497"/>
      <c r="C142" s="498"/>
      <c r="D142" s="357" t="s">
        <v>66</v>
      </c>
      <c r="E142" s="511" t="s">
        <v>406</v>
      </c>
      <c r="F142" s="512"/>
      <c r="G142" s="512"/>
      <c r="H142" s="512"/>
      <c r="I142" s="512"/>
      <c r="J142" s="512"/>
      <c r="K142" s="512"/>
      <c r="L142" s="512"/>
      <c r="M142" s="512"/>
      <c r="N142" s="512"/>
      <c r="O142" s="512"/>
      <c r="P142" s="512"/>
      <c r="Q142" s="512"/>
      <c r="R142" s="512"/>
      <c r="S142" s="512"/>
      <c r="T142" s="512"/>
      <c r="U142" s="513"/>
    </row>
    <row r="143" spans="2:21" ht="18" thickBot="1" x14ac:dyDescent="0.45">
      <c r="B143" s="497"/>
      <c r="C143" s="498"/>
      <c r="D143" s="352" t="s">
        <v>47</v>
      </c>
      <c r="E143" s="508" t="s">
        <v>407</v>
      </c>
      <c r="F143" s="509"/>
      <c r="G143" s="509"/>
      <c r="H143" s="509"/>
      <c r="I143" s="509"/>
      <c r="J143" s="509"/>
      <c r="K143" s="509"/>
      <c r="L143" s="509"/>
      <c r="M143" s="509"/>
      <c r="N143" s="509"/>
      <c r="O143" s="509"/>
      <c r="P143" s="509"/>
      <c r="Q143" s="509"/>
      <c r="R143" s="509"/>
      <c r="S143" s="509"/>
      <c r="T143" s="509"/>
      <c r="U143" s="510"/>
    </row>
    <row r="144" spans="2:21" ht="18" thickBot="1" x14ac:dyDescent="0.45">
      <c r="B144" s="497"/>
      <c r="C144" s="498"/>
      <c r="D144" s="357" t="s">
        <v>48</v>
      </c>
      <c r="E144" s="511" t="s">
        <v>390</v>
      </c>
      <c r="F144" s="512"/>
      <c r="G144" s="512"/>
      <c r="H144" s="512"/>
      <c r="I144" s="512"/>
      <c r="J144" s="512"/>
      <c r="K144" s="512"/>
      <c r="L144" s="512"/>
      <c r="M144" s="512"/>
      <c r="N144" s="512"/>
      <c r="O144" s="512"/>
      <c r="P144" s="512"/>
      <c r="Q144" s="512"/>
      <c r="R144" s="512"/>
      <c r="S144" s="512"/>
      <c r="T144" s="512"/>
      <c r="U144" s="513"/>
    </row>
    <row r="145" spans="2:21" ht="18" thickBot="1" x14ac:dyDescent="0.45">
      <c r="B145" s="497"/>
      <c r="C145" s="498"/>
      <c r="D145" s="352" t="s">
        <v>49</v>
      </c>
      <c r="E145" s="508" t="s">
        <v>405</v>
      </c>
      <c r="F145" s="509"/>
      <c r="G145" s="509"/>
      <c r="H145" s="509"/>
      <c r="I145" s="509"/>
      <c r="J145" s="509"/>
      <c r="K145" s="509"/>
      <c r="L145" s="509"/>
      <c r="M145" s="509"/>
      <c r="N145" s="509"/>
      <c r="O145" s="509"/>
      <c r="P145" s="509"/>
      <c r="Q145" s="509"/>
      <c r="R145" s="509"/>
      <c r="S145" s="509"/>
      <c r="T145" s="509"/>
      <c r="U145" s="510"/>
    </row>
    <row r="146" spans="2:21" ht="29.25" thickBot="1" x14ac:dyDescent="0.45">
      <c r="B146" s="497"/>
      <c r="C146" s="498"/>
      <c r="D146" s="357" t="s">
        <v>65</v>
      </c>
      <c r="E146" s="511" t="s">
        <v>406</v>
      </c>
      <c r="F146" s="512"/>
      <c r="G146" s="512"/>
      <c r="H146" s="512"/>
      <c r="I146" s="512"/>
      <c r="J146" s="512"/>
      <c r="K146" s="512"/>
      <c r="L146" s="512"/>
      <c r="M146" s="512"/>
      <c r="N146" s="512"/>
      <c r="O146" s="512"/>
      <c r="P146" s="512"/>
      <c r="Q146" s="512"/>
      <c r="R146" s="512"/>
      <c r="S146" s="512"/>
      <c r="T146" s="512"/>
      <c r="U146" s="513"/>
    </row>
    <row r="147" spans="2:21" ht="18" thickBot="1" x14ac:dyDescent="0.45">
      <c r="B147" s="499"/>
      <c r="C147" s="500"/>
      <c r="D147" s="352" t="s">
        <v>50</v>
      </c>
      <c r="E147" s="508" t="s">
        <v>407</v>
      </c>
      <c r="F147" s="509"/>
      <c r="G147" s="509"/>
      <c r="H147" s="509"/>
      <c r="I147" s="509"/>
      <c r="J147" s="509"/>
      <c r="K147" s="509"/>
      <c r="L147" s="509"/>
      <c r="M147" s="509"/>
      <c r="N147" s="509"/>
      <c r="O147" s="509"/>
      <c r="P147" s="509"/>
      <c r="Q147" s="509"/>
      <c r="R147" s="509"/>
      <c r="S147" s="509"/>
      <c r="T147" s="509"/>
      <c r="U147" s="510"/>
    </row>
    <row r="148" spans="2:21" ht="18" thickBot="1" x14ac:dyDescent="0.45">
      <c r="B148" s="495" t="s">
        <v>280</v>
      </c>
      <c r="C148" s="496"/>
      <c r="D148" s="357" t="s">
        <v>257</v>
      </c>
      <c r="E148" s="511" t="s">
        <v>408</v>
      </c>
      <c r="F148" s="512"/>
      <c r="G148" s="512"/>
      <c r="H148" s="512"/>
      <c r="I148" s="512"/>
      <c r="J148" s="512"/>
      <c r="K148" s="512"/>
      <c r="L148" s="512"/>
      <c r="M148" s="512"/>
      <c r="N148" s="512"/>
      <c r="O148" s="512"/>
      <c r="P148" s="512"/>
      <c r="Q148" s="512"/>
      <c r="R148" s="512"/>
      <c r="S148" s="512"/>
      <c r="T148" s="512"/>
      <c r="U148" s="513"/>
    </row>
    <row r="149" spans="2:21" ht="29.25" thickBot="1" x14ac:dyDescent="0.45">
      <c r="B149" s="497"/>
      <c r="C149" s="498"/>
      <c r="D149" s="352" t="s">
        <v>259</v>
      </c>
      <c r="E149" s="508" t="s">
        <v>408</v>
      </c>
      <c r="F149" s="509"/>
      <c r="G149" s="509"/>
      <c r="H149" s="509"/>
      <c r="I149" s="509"/>
      <c r="J149" s="509"/>
      <c r="K149" s="509"/>
      <c r="L149" s="509"/>
      <c r="M149" s="509"/>
      <c r="N149" s="509"/>
      <c r="O149" s="509"/>
      <c r="P149" s="509"/>
      <c r="Q149" s="509"/>
      <c r="R149" s="509"/>
      <c r="S149" s="509"/>
      <c r="T149" s="509"/>
      <c r="U149" s="510"/>
    </row>
    <row r="150" spans="2:21" ht="29.25" thickBot="1" x14ac:dyDescent="0.45">
      <c r="B150" s="497"/>
      <c r="C150" s="498"/>
      <c r="D150" s="357" t="s">
        <v>261</v>
      </c>
      <c r="E150" s="511" t="s">
        <v>408</v>
      </c>
      <c r="F150" s="512"/>
      <c r="G150" s="512"/>
      <c r="H150" s="512"/>
      <c r="I150" s="512"/>
      <c r="J150" s="512"/>
      <c r="K150" s="512"/>
      <c r="L150" s="512"/>
      <c r="M150" s="512"/>
      <c r="N150" s="512"/>
      <c r="O150" s="512"/>
      <c r="P150" s="512"/>
      <c r="Q150" s="512"/>
      <c r="R150" s="512"/>
      <c r="S150" s="512"/>
      <c r="T150" s="512"/>
      <c r="U150" s="513"/>
    </row>
    <row r="151" spans="2:21" ht="18" thickBot="1" x14ac:dyDescent="0.45">
      <c r="B151" s="497"/>
      <c r="C151" s="498"/>
      <c r="D151" s="352" t="s">
        <v>263</v>
      </c>
      <c r="E151" s="508" t="s">
        <v>408</v>
      </c>
      <c r="F151" s="509"/>
      <c r="G151" s="509"/>
      <c r="H151" s="509"/>
      <c r="I151" s="509"/>
      <c r="J151" s="509"/>
      <c r="K151" s="509"/>
      <c r="L151" s="509"/>
      <c r="M151" s="509"/>
      <c r="N151" s="509"/>
      <c r="O151" s="509"/>
      <c r="P151" s="509"/>
      <c r="Q151" s="509"/>
      <c r="R151" s="509"/>
      <c r="S151" s="509"/>
      <c r="T151" s="509"/>
      <c r="U151" s="510"/>
    </row>
    <row r="152" spans="2:21" ht="18" thickBot="1" x14ac:dyDescent="0.45">
      <c r="B152" s="497"/>
      <c r="C152" s="498"/>
      <c r="D152" s="357" t="s">
        <v>265</v>
      </c>
      <c r="E152" s="511" t="s">
        <v>408</v>
      </c>
      <c r="F152" s="512"/>
      <c r="G152" s="512"/>
      <c r="H152" s="512"/>
      <c r="I152" s="512"/>
      <c r="J152" s="512"/>
      <c r="K152" s="512"/>
      <c r="L152" s="512"/>
      <c r="M152" s="512"/>
      <c r="N152" s="512"/>
      <c r="O152" s="512"/>
      <c r="P152" s="512"/>
      <c r="Q152" s="512"/>
      <c r="R152" s="512"/>
      <c r="S152" s="512"/>
      <c r="T152" s="512"/>
      <c r="U152" s="513"/>
    </row>
    <row r="153" spans="2:21" ht="29.25" thickBot="1" x14ac:dyDescent="0.45">
      <c r="B153" s="499"/>
      <c r="C153" s="500"/>
      <c r="D153" s="352" t="s">
        <v>267</v>
      </c>
      <c r="E153" s="508" t="s">
        <v>408</v>
      </c>
      <c r="F153" s="509"/>
      <c r="G153" s="509"/>
      <c r="H153" s="509"/>
      <c r="I153" s="509"/>
      <c r="J153" s="509"/>
      <c r="K153" s="509"/>
      <c r="L153" s="509"/>
      <c r="M153" s="509"/>
      <c r="N153" s="509"/>
      <c r="O153" s="509"/>
      <c r="P153" s="509"/>
      <c r="Q153" s="509"/>
      <c r="R153" s="509"/>
      <c r="S153" s="509"/>
      <c r="T153" s="509"/>
      <c r="U153" s="510"/>
    </row>
    <row r="154" spans="2:21" ht="18" customHeight="1" x14ac:dyDescent="0.4">
      <c r="B154" s="495" t="s">
        <v>290</v>
      </c>
      <c r="C154" s="496"/>
      <c r="D154" s="493" t="s">
        <v>337</v>
      </c>
      <c r="E154" s="501" t="s">
        <v>410</v>
      </c>
      <c r="F154" s="501"/>
      <c r="G154" s="501"/>
      <c r="H154" s="501"/>
      <c r="I154" s="501"/>
      <c r="J154" s="501"/>
      <c r="K154" s="501"/>
      <c r="L154" s="501"/>
      <c r="M154" s="501"/>
      <c r="N154" s="501"/>
      <c r="O154" s="501"/>
      <c r="P154" s="501"/>
      <c r="Q154" s="501"/>
      <c r="R154" s="501"/>
      <c r="S154" s="501"/>
      <c r="T154" s="501"/>
      <c r="U154" s="502"/>
    </row>
    <row r="155" spans="2:21" ht="18" thickBot="1" x14ac:dyDescent="0.45">
      <c r="B155" s="497"/>
      <c r="C155" s="498"/>
      <c r="D155" s="494"/>
      <c r="E155" s="503" t="s">
        <v>409</v>
      </c>
      <c r="F155" s="503"/>
      <c r="G155" s="503"/>
      <c r="H155" s="503"/>
      <c r="I155" s="503"/>
      <c r="J155" s="503"/>
      <c r="K155" s="503"/>
      <c r="L155" s="503"/>
      <c r="M155" s="503"/>
      <c r="N155" s="503"/>
      <c r="O155" s="503"/>
      <c r="P155" s="503"/>
      <c r="Q155" s="503"/>
      <c r="R155" s="503"/>
      <c r="S155" s="503"/>
      <c r="T155" s="503"/>
      <c r="U155" s="504"/>
    </row>
    <row r="156" spans="2:21" x14ac:dyDescent="0.4">
      <c r="B156" s="497"/>
      <c r="C156" s="498"/>
      <c r="D156" s="493" t="s">
        <v>338</v>
      </c>
      <c r="E156" s="501" t="s">
        <v>410</v>
      </c>
      <c r="F156" s="501"/>
      <c r="G156" s="501"/>
      <c r="H156" s="501"/>
      <c r="I156" s="501"/>
      <c r="J156" s="501"/>
      <c r="K156" s="501"/>
      <c r="L156" s="501"/>
      <c r="M156" s="501"/>
      <c r="N156" s="501"/>
      <c r="O156" s="501"/>
      <c r="P156" s="501"/>
      <c r="Q156" s="501"/>
      <c r="R156" s="501"/>
      <c r="S156" s="501"/>
      <c r="T156" s="501"/>
      <c r="U156" s="502"/>
    </row>
    <row r="157" spans="2:21" ht="18" thickBot="1" x14ac:dyDescent="0.45">
      <c r="B157" s="497"/>
      <c r="C157" s="498"/>
      <c r="D157" s="494"/>
      <c r="E157" s="503" t="s">
        <v>409</v>
      </c>
      <c r="F157" s="503"/>
      <c r="G157" s="503"/>
      <c r="H157" s="503"/>
      <c r="I157" s="503"/>
      <c r="J157" s="503"/>
      <c r="K157" s="503"/>
      <c r="L157" s="503"/>
      <c r="M157" s="503"/>
      <c r="N157" s="503"/>
      <c r="O157" s="503"/>
      <c r="P157" s="503"/>
      <c r="Q157" s="503"/>
      <c r="R157" s="503"/>
      <c r="S157" s="503"/>
      <c r="T157" s="503"/>
      <c r="U157" s="504"/>
    </row>
    <row r="158" spans="2:21" x14ac:dyDescent="0.4">
      <c r="B158" s="497"/>
      <c r="C158" s="498"/>
      <c r="D158" s="493" t="s">
        <v>339</v>
      </c>
      <c r="E158" s="501" t="s">
        <v>410</v>
      </c>
      <c r="F158" s="501"/>
      <c r="G158" s="501"/>
      <c r="H158" s="501"/>
      <c r="I158" s="501"/>
      <c r="J158" s="501"/>
      <c r="K158" s="501"/>
      <c r="L158" s="501"/>
      <c r="M158" s="501"/>
      <c r="N158" s="501"/>
      <c r="O158" s="501"/>
      <c r="P158" s="501"/>
      <c r="Q158" s="501"/>
      <c r="R158" s="501"/>
      <c r="S158" s="501"/>
      <c r="T158" s="501"/>
      <c r="U158" s="502"/>
    </row>
    <row r="159" spans="2:21" ht="18" thickBot="1" x14ac:dyDescent="0.45">
      <c r="B159" s="497"/>
      <c r="C159" s="498"/>
      <c r="D159" s="494"/>
      <c r="E159" s="503" t="s">
        <v>409</v>
      </c>
      <c r="F159" s="503"/>
      <c r="G159" s="503"/>
      <c r="H159" s="503"/>
      <c r="I159" s="503"/>
      <c r="J159" s="503"/>
      <c r="K159" s="503"/>
      <c r="L159" s="503"/>
      <c r="M159" s="503"/>
      <c r="N159" s="503"/>
      <c r="O159" s="503"/>
      <c r="P159" s="503"/>
      <c r="Q159" s="503"/>
      <c r="R159" s="503"/>
      <c r="S159" s="503"/>
      <c r="T159" s="503"/>
      <c r="U159" s="504"/>
    </row>
    <row r="160" spans="2:21" x14ac:dyDescent="0.4">
      <c r="B160" s="497"/>
      <c r="C160" s="498"/>
      <c r="D160" s="493" t="s">
        <v>340</v>
      </c>
      <c r="E160" s="501" t="s">
        <v>410</v>
      </c>
      <c r="F160" s="501"/>
      <c r="G160" s="501"/>
      <c r="H160" s="501"/>
      <c r="I160" s="501"/>
      <c r="J160" s="501"/>
      <c r="K160" s="501"/>
      <c r="L160" s="501"/>
      <c r="M160" s="501"/>
      <c r="N160" s="501"/>
      <c r="O160" s="501"/>
      <c r="P160" s="501"/>
      <c r="Q160" s="501"/>
      <c r="R160" s="501"/>
      <c r="S160" s="501"/>
      <c r="T160" s="501"/>
      <c r="U160" s="502"/>
    </row>
    <row r="161" spans="2:21" ht="18" thickBot="1" x14ac:dyDescent="0.45">
      <c r="B161" s="497"/>
      <c r="C161" s="498"/>
      <c r="D161" s="494"/>
      <c r="E161" s="503" t="s">
        <v>409</v>
      </c>
      <c r="F161" s="503"/>
      <c r="G161" s="503"/>
      <c r="H161" s="503"/>
      <c r="I161" s="503"/>
      <c r="J161" s="503"/>
      <c r="K161" s="503"/>
      <c r="L161" s="503"/>
      <c r="M161" s="503"/>
      <c r="N161" s="503"/>
      <c r="O161" s="503"/>
      <c r="P161" s="503"/>
      <c r="Q161" s="503"/>
      <c r="R161" s="503"/>
      <c r="S161" s="503"/>
      <c r="T161" s="503"/>
      <c r="U161" s="504"/>
    </row>
    <row r="162" spans="2:21" x14ac:dyDescent="0.4">
      <c r="B162" s="497"/>
      <c r="C162" s="498"/>
      <c r="D162" s="493" t="s">
        <v>341</v>
      </c>
      <c r="E162" s="501" t="s">
        <v>410</v>
      </c>
      <c r="F162" s="501"/>
      <c r="G162" s="501"/>
      <c r="H162" s="501"/>
      <c r="I162" s="501"/>
      <c r="J162" s="501"/>
      <c r="K162" s="501"/>
      <c r="L162" s="501"/>
      <c r="M162" s="501"/>
      <c r="N162" s="501"/>
      <c r="O162" s="501"/>
      <c r="P162" s="501"/>
      <c r="Q162" s="501"/>
      <c r="R162" s="501"/>
      <c r="S162" s="501"/>
      <c r="T162" s="501"/>
      <c r="U162" s="502"/>
    </row>
    <row r="163" spans="2:21" ht="18" thickBot="1" x14ac:dyDescent="0.45">
      <c r="B163" s="497"/>
      <c r="C163" s="498"/>
      <c r="D163" s="494"/>
      <c r="E163" s="503" t="s">
        <v>409</v>
      </c>
      <c r="F163" s="503"/>
      <c r="G163" s="503"/>
      <c r="H163" s="503"/>
      <c r="I163" s="503"/>
      <c r="J163" s="503"/>
      <c r="K163" s="503"/>
      <c r="L163" s="503"/>
      <c r="M163" s="503"/>
      <c r="N163" s="503"/>
      <c r="O163" s="503"/>
      <c r="P163" s="503"/>
      <c r="Q163" s="503"/>
      <c r="R163" s="503"/>
      <c r="S163" s="503"/>
      <c r="T163" s="503"/>
      <c r="U163" s="504"/>
    </row>
    <row r="164" spans="2:21" x14ac:dyDescent="0.4">
      <c r="B164" s="497"/>
      <c r="C164" s="498"/>
      <c r="D164" s="493" t="s">
        <v>342</v>
      </c>
      <c r="E164" s="501" t="s">
        <v>410</v>
      </c>
      <c r="F164" s="501"/>
      <c r="G164" s="501"/>
      <c r="H164" s="501"/>
      <c r="I164" s="501"/>
      <c r="J164" s="501"/>
      <c r="K164" s="501"/>
      <c r="L164" s="501"/>
      <c r="M164" s="501"/>
      <c r="N164" s="501"/>
      <c r="O164" s="501"/>
      <c r="P164" s="501"/>
      <c r="Q164" s="501"/>
      <c r="R164" s="501"/>
      <c r="S164" s="501"/>
      <c r="T164" s="501"/>
      <c r="U164" s="502"/>
    </row>
    <row r="165" spans="2:21" ht="18" thickBot="1" x14ac:dyDescent="0.45">
      <c r="B165" s="497"/>
      <c r="C165" s="498"/>
      <c r="D165" s="494"/>
      <c r="E165" s="503" t="s">
        <v>409</v>
      </c>
      <c r="F165" s="503"/>
      <c r="G165" s="503"/>
      <c r="H165" s="503"/>
      <c r="I165" s="503"/>
      <c r="J165" s="503"/>
      <c r="K165" s="503"/>
      <c r="L165" s="503"/>
      <c r="M165" s="503"/>
      <c r="N165" s="503"/>
      <c r="O165" s="503"/>
      <c r="P165" s="503"/>
      <c r="Q165" s="503"/>
      <c r="R165" s="503"/>
      <c r="S165" s="503"/>
      <c r="T165" s="503"/>
      <c r="U165" s="504"/>
    </row>
    <row r="166" spans="2:21" x14ac:dyDescent="0.4">
      <c r="B166" s="497"/>
      <c r="C166" s="498"/>
      <c r="D166" s="493" t="s">
        <v>343</v>
      </c>
      <c r="E166" s="501" t="s">
        <v>410</v>
      </c>
      <c r="F166" s="501"/>
      <c r="G166" s="501"/>
      <c r="H166" s="501"/>
      <c r="I166" s="501"/>
      <c r="J166" s="501"/>
      <c r="K166" s="501"/>
      <c r="L166" s="501"/>
      <c r="M166" s="501"/>
      <c r="N166" s="501"/>
      <c r="O166" s="501"/>
      <c r="P166" s="501"/>
      <c r="Q166" s="501"/>
      <c r="R166" s="501"/>
      <c r="S166" s="501"/>
      <c r="T166" s="501"/>
      <c r="U166" s="502"/>
    </row>
    <row r="167" spans="2:21" ht="18" thickBot="1" x14ac:dyDescent="0.45">
      <c r="B167" s="497"/>
      <c r="C167" s="498"/>
      <c r="D167" s="494"/>
      <c r="E167" s="503" t="s">
        <v>409</v>
      </c>
      <c r="F167" s="503"/>
      <c r="G167" s="503"/>
      <c r="H167" s="503"/>
      <c r="I167" s="503"/>
      <c r="J167" s="503"/>
      <c r="K167" s="503"/>
      <c r="L167" s="503"/>
      <c r="M167" s="503"/>
      <c r="N167" s="503"/>
      <c r="O167" s="503"/>
      <c r="P167" s="503"/>
      <c r="Q167" s="503"/>
      <c r="R167" s="503"/>
      <c r="S167" s="503"/>
      <c r="T167" s="503"/>
      <c r="U167" s="504"/>
    </row>
    <row r="168" spans="2:21" x14ac:dyDescent="0.4">
      <c r="B168" s="497"/>
      <c r="C168" s="498"/>
      <c r="D168" s="493" t="s">
        <v>344</v>
      </c>
      <c r="E168" s="501" t="s">
        <v>410</v>
      </c>
      <c r="F168" s="501"/>
      <c r="G168" s="501"/>
      <c r="H168" s="501"/>
      <c r="I168" s="501"/>
      <c r="J168" s="501"/>
      <c r="K168" s="501"/>
      <c r="L168" s="501"/>
      <c r="M168" s="501"/>
      <c r="N168" s="501"/>
      <c r="O168" s="501"/>
      <c r="P168" s="501"/>
      <c r="Q168" s="501"/>
      <c r="R168" s="501"/>
      <c r="S168" s="501"/>
      <c r="T168" s="501"/>
      <c r="U168" s="502"/>
    </row>
    <row r="169" spans="2:21" ht="18" thickBot="1" x14ac:dyDescent="0.45">
      <c r="B169" s="497"/>
      <c r="C169" s="498"/>
      <c r="D169" s="494"/>
      <c r="E169" s="503" t="s">
        <v>409</v>
      </c>
      <c r="F169" s="503"/>
      <c r="G169" s="503"/>
      <c r="H169" s="503"/>
      <c r="I169" s="503"/>
      <c r="J169" s="503"/>
      <c r="K169" s="503"/>
      <c r="L169" s="503"/>
      <c r="M169" s="503"/>
      <c r="N169" s="503"/>
      <c r="O169" s="503"/>
      <c r="P169" s="503"/>
      <c r="Q169" s="503"/>
      <c r="R169" s="503"/>
      <c r="S169" s="503"/>
      <c r="T169" s="503"/>
      <c r="U169" s="504"/>
    </row>
    <row r="170" spans="2:21" x14ac:dyDescent="0.4">
      <c r="B170" s="497"/>
      <c r="C170" s="498"/>
      <c r="D170" s="493" t="s">
        <v>345</v>
      </c>
      <c r="E170" s="501" t="s">
        <v>410</v>
      </c>
      <c r="F170" s="501"/>
      <c r="G170" s="501"/>
      <c r="H170" s="501"/>
      <c r="I170" s="501"/>
      <c r="J170" s="501"/>
      <c r="K170" s="501"/>
      <c r="L170" s="501"/>
      <c r="M170" s="501"/>
      <c r="N170" s="501"/>
      <c r="O170" s="501"/>
      <c r="P170" s="501"/>
      <c r="Q170" s="501"/>
      <c r="R170" s="501"/>
      <c r="S170" s="501"/>
      <c r="T170" s="501"/>
      <c r="U170" s="502"/>
    </row>
    <row r="171" spans="2:21" ht="18" thickBot="1" x14ac:dyDescent="0.45">
      <c r="B171" s="497"/>
      <c r="C171" s="498"/>
      <c r="D171" s="494"/>
      <c r="E171" s="503" t="s">
        <v>409</v>
      </c>
      <c r="F171" s="503"/>
      <c r="G171" s="503"/>
      <c r="H171" s="503"/>
      <c r="I171" s="503"/>
      <c r="J171" s="503"/>
      <c r="K171" s="503"/>
      <c r="L171" s="503"/>
      <c r="M171" s="503"/>
      <c r="N171" s="503"/>
      <c r="O171" s="503"/>
      <c r="P171" s="503"/>
      <c r="Q171" s="503"/>
      <c r="R171" s="503"/>
      <c r="S171" s="503"/>
      <c r="T171" s="503"/>
      <c r="U171" s="504"/>
    </row>
    <row r="172" spans="2:21" x14ac:dyDescent="0.4">
      <c r="B172" s="497"/>
      <c r="C172" s="498"/>
      <c r="D172" s="493" t="s">
        <v>346</v>
      </c>
      <c r="E172" s="501" t="s">
        <v>410</v>
      </c>
      <c r="F172" s="501"/>
      <c r="G172" s="501"/>
      <c r="H172" s="501"/>
      <c r="I172" s="501"/>
      <c r="J172" s="501"/>
      <c r="K172" s="501"/>
      <c r="L172" s="501"/>
      <c r="M172" s="501"/>
      <c r="N172" s="501"/>
      <c r="O172" s="501"/>
      <c r="P172" s="501"/>
      <c r="Q172" s="501"/>
      <c r="R172" s="501"/>
      <c r="S172" s="501"/>
      <c r="T172" s="501"/>
      <c r="U172" s="502"/>
    </row>
    <row r="173" spans="2:21" ht="18" thickBot="1" x14ac:dyDescent="0.45">
      <c r="B173" s="499"/>
      <c r="C173" s="500"/>
      <c r="D173" s="494"/>
      <c r="E173" s="503" t="s">
        <v>409</v>
      </c>
      <c r="F173" s="503"/>
      <c r="G173" s="503"/>
      <c r="H173" s="503"/>
      <c r="I173" s="503"/>
      <c r="J173" s="503"/>
      <c r="K173" s="503"/>
      <c r="L173" s="503"/>
      <c r="M173" s="503"/>
      <c r="N173" s="503"/>
      <c r="O173" s="503"/>
      <c r="P173" s="503"/>
      <c r="Q173" s="503"/>
      <c r="R173" s="503"/>
      <c r="S173" s="503"/>
      <c r="T173" s="503"/>
      <c r="U173" s="504"/>
    </row>
  </sheetData>
  <sheetProtection algorithmName="SHA-512" hashValue="4T6sJ4fVkFOgv7OlxrMY4wyAIQEfZz8QK+SdDg3pZ2LWzwyHE15XtYOeR+4tdCK2jkDzzxPRURyHxPbzsH5jPw==" saltValue="pMxF8qNIVbkX2dUoi6wlVg==" spinCount="100000" sheet="1" objects="1" scenarios="1"/>
  <mergeCells count="19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 ref="B148:C153"/>
    <mergeCell ref="B3:C22"/>
    <mergeCell ref="B23:C30"/>
    <mergeCell ref="B31:C35"/>
    <mergeCell ref="B36:C40"/>
    <mergeCell ref="B41:C49"/>
    <mergeCell ref="B50:C78"/>
    <mergeCell ref="B79:C80"/>
    <mergeCell ref="B81:C131"/>
    <mergeCell ref="B132:C135"/>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E47:U47"/>
    <mergeCell ref="E48:U48"/>
    <mergeCell ref="E49:U49"/>
    <mergeCell ref="E50:U50"/>
    <mergeCell ref="E51:U51"/>
    <mergeCell ref="E52:U52"/>
    <mergeCell ref="E41:U41"/>
    <mergeCell ref="E42:U42"/>
    <mergeCell ref="E43:U43"/>
    <mergeCell ref="E44:U44"/>
    <mergeCell ref="E45:U45"/>
    <mergeCell ref="E46:U46"/>
    <mergeCell ref="E59:U59"/>
    <mergeCell ref="E60:U60"/>
    <mergeCell ref="E61:U61"/>
    <mergeCell ref="E62:U62"/>
    <mergeCell ref="E63:U63"/>
    <mergeCell ref="E64:U64"/>
    <mergeCell ref="E53:U53"/>
    <mergeCell ref="E54:U54"/>
    <mergeCell ref="E55:U55"/>
    <mergeCell ref="E56:U56"/>
    <mergeCell ref="E57:U57"/>
    <mergeCell ref="E58:U58"/>
    <mergeCell ref="E71:U71"/>
    <mergeCell ref="E72:U72"/>
    <mergeCell ref="E73:U73"/>
    <mergeCell ref="E74:U74"/>
    <mergeCell ref="E75:U75"/>
    <mergeCell ref="E76:U76"/>
    <mergeCell ref="E65:U65"/>
    <mergeCell ref="E66:U66"/>
    <mergeCell ref="E67:U67"/>
    <mergeCell ref="E68:U68"/>
    <mergeCell ref="E69:U69"/>
    <mergeCell ref="E70:U70"/>
    <mergeCell ref="E83:U83"/>
    <mergeCell ref="E84:U84"/>
    <mergeCell ref="E85:U85"/>
    <mergeCell ref="E86:U86"/>
    <mergeCell ref="E87:U87"/>
    <mergeCell ref="E88:U88"/>
    <mergeCell ref="E77:U77"/>
    <mergeCell ref="E78:U78"/>
    <mergeCell ref="E79:U79"/>
    <mergeCell ref="E80:U80"/>
    <mergeCell ref="E81:U81"/>
    <mergeCell ref="E82:U82"/>
    <mergeCell ref="E95:U95"/>
    <mergeCell ref="E96:U96"/>
    <mergeCell ref="E97:U97"/>
    <mergeCell ref="E98:U98"/>
    <mergeCell ref="E99:U99"/>
    <mergeCell ref="E100:U100"/>
    <mergeCell ref="E89:U89"/>
    <mergeCell ref="E90:U90"/>
    <mergeCell ref="E91:U91"/>
    <mergeCell ref="E92:U92"/>
    <mergeCell ref="E93:U93"/>
    <mergeCell ref="E94:U94"/>
    <mergeCell ref="E107:U107"/>
    <mergeCell ref="E108:U108"/>
    <mergeCell ref="E109:U109"/>
    <mergeCell ref="E110:U110"/>
    <mergeCell ref="E111:U111"/>
    <mergeCell ref="E112:U112"/>
    <mergeCell ref="E101:U101"/>
    <mergeCell ref="E102:U102"/>
    <mergeCell ref="E103:U103"/>
    <mergeCell ref="E104:U104"/>
    <mergeCell ref="E105:U105"/>
    <mergeCell ref="E106:U106"/>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72"/>
  <sheetViews>
    <sheetView rightToLeft="1" view="pageBreakPreview" zoomScale="70" zoomScaleNormal="90" zoomScaleSheetLayoutView="70" workbookViewId="0">
      <pane xSplit="4" ySplit="21" topLeftCell="E76" activePane="bottomRight" state="frozen"/>
      <selection pane="topRight" activeCell="E1" sqref="E1"/>
      <selection pane="bottomLeft" activeCell="A13" sqref="A13"/>
      <selection pane="bottomRight" activeCell="F80" sqref="F80"/>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1" customWidth="1"/>
    <col min="5" max="5" width="14.85546875" style="52" customWidth="1"/>
    <col min="6" max="6" width="13.5703125" style="5" customWidth="1"/>
    <col min="7" max="15" width="13.5703125" style="6" customWidth="1"/>
    <col min="16" max="16384" width="9" style="7"/>
  </cols>
  <sheetData>
    <row r="1" spans="1:15" ht="18" customHeight="1" thickBot="1" x14ac:dyDescent="0.3">
      <c r="D1" s="3"/>
      <c r="E1" s="4"/>
    </row>
    <row r="2" spans="1:15" ht="18.75" customHeight="1" x14ac:dyDescent="0.25">
      <c r="B2" s="535" t="s">
        <v>14</v>
      </c>
      <c r="C2" s="541"/>
      <c r="D2" s="8" t="s">
        <v>56</v>
      </c>
      <c r="E2" s="10" t="s">
        <v>427</v>
      </c>
      <c r="F2" s="9" t="s">
        <v>427</v>
      </c>
      <c r="G2" s="10" t="s">
        <v>427</v>
      </c>
      <c r="H2" s="9" t="s">
        <v>427</v>
      </c>
      <c r="I2" s="10" t="s">
        <v>427</v>
      </c>
      <c r="J2" s="9" t="s">
        <v>427</v>
      </c>
      <c r="K2" s="10" t="s">
        <v>427</v>
      </c>
      <c r="L2" s="9"/>
      <c r="M2" s="10"/>
      <c r="N2" s="9"/>
      <c r="O2" s="57"/>
    </row>
    <row r="3" spans="1:15" ht="18.75" customHeight="1" x14ac:dyDescent="0.25">
      <c r="B3" s="537"/>
      <c r="C3" s="542"/>
      <c r="D3" s="11" t="s">
        <v>59</v>
      </c>
      <c r="E3" s="13" t="s">
        <v>428</v>
      </c>
      <c r="F3" s="12" t="s">
        <v>428</v>
      </c>
      <c r="G3" s="13" t="s">
        <v>428</v>
      </c>
      <c r="H3" s="12" t="s">
        <v>428</v>
      </c>
      <c r="I3" s="13" t="s">
        <v>428</v>
      </c>
      <c r="J3" s="12" t="s">
        <v>428</v>
      </c>
      <c r="K3" s="13" t="s">
        <v>428</v>
      </c>
      <c r="L3" s="12"/>
      <c r="M3" s="13"/>
      <c r="N3" s="12"/>
      <c r="O3" s="57"/>
    </row>
    <row r="4" spans="1:15" ht="18.75" customHeight="1" x14ac:dyDescent="0.25">
      <c r="B4" s="537"/>
      <c r="C4" s="542"/>
      <c r="D4" s="11" t="s">
        <v>60</v>
      </c>
      <c r="E4" s="13" t="s">
        <v>429</v>
      </c>
      <c r="F4" s="12" t="s">
        <v>429</v>
      </c>
      <c r="G4" s="13" t="s">
        <v>429</v>
      </c>
      <c r="H4" s="12" t="s">
        <v>429</v>
      </c>
      <c r="I4" s="13" t="s">
        <v>429</v>
      </c>
      <c r="J4" s="12" t="s">
        <v>429</v>
      </c>
      <c r="K4" s="13" t="s">
        <v>429</v>
      </c>
      <c r="L4" s="12"/>
      <c r="M4" s="13"/>
      <c r="N4" s="475"/>
      <c r="O4" s="58"/>
    </row>
    <row r="5" spans="1:15" ht="18.75" customHeight="1" x14ac:dyDescent="0.25">
      <c r="B5" s="537"/>
      <c r="C5" s="542"/>
      <c r="D5" s="11" t="s">
        <v>33</v>
      </c>
      <c r="E5" s="13" t="s">
        <v>487</v>
      </c>
      <c r="F5" s="12" t="s">
        <v>487</v>
      </c>
      <c r="G5" s="13" t="s">
        <v>488</v>
      </c>
      <c r="H5" s="12" t="s">
        <v>430</v>
      </c>
      <c r="I5" s="13" t="s">
        <v>430</v>
      </c>
      <c r="J5" s="12" t="s">
        <v>430</v>
      </c>
      <c r="K5" s="13" t="s">
        <v>430</v>
      </c>
      <c r="L5" s="12"/>
      <c r="M5" s="13"/>
      <c r="N5" s="475"/>
      <c r="O5" s="58"/>
    </row>
    <row r="6" spans="1:15" ht="18" customHeight="1" x14ac:dyDescent="0.25">
      <c r="B6" s="537"/>
      <c r="C6" s="542"/>
      <c r="D6" s="17" t="s">
        <v>9</v>
      </c>
      <c r="E6" s="13" t="s">
        <v>431</v>
      </c>
      <c r="F6" s="12" t="s">
        <v>432</v>
      </c>
      <c r="G6" s="13" t="s">
        <v>433</v>
      </c>
      <c r="H6" s="12" t="s">
        <v>434</v>
      </c>
      <c r="I6" s="13" t="s">
        <v>435</v>
      </c>
      <c r="J6" s="12" t="s">
        <v>436</v>
      </c>
      <c r="K6" s="13" t="s">
        <v>437</v>
      </c>
      <c r="L6" s="12"/>
      <c r="M6" s="13"/>
      <c r="N6" s="12"/>
      <c r="O6" s="61"/>
    </row>
    <row r="7" spans="1:15" ht="21" customHeight="1" x14ac:dyDescent="0.25">
      <c r="A7" s="7">
        <v>0</v>
      </c>
      <c r="B7" s="537"/>
      <c r="C7" s="542"/>
      <c r="D7" s="17" t="s">
        <v>22</v>
      </c>
      <c r="E7" s="476">
        <v>1</v>
      </c>
      <c r="F7" s="477">
        <f>E7+1</f>
        <v>2</v>
      </c>
      <c r="G7" s="476">
        <f t="shared" ref="G7" si="0">F7+1</f>
        <v>3</v>
      </c>
      <c r="H7" s="477">
        <f t="shared" ref="H7" si="1">G7+1</f>
        <v>4</v>
      </c>
      <c r="I7" s="476">
        <f t="shared" ref="I7" si="2">H7+1</f>
        <v>5</v>
      </c>
      <c r="J7" s="477">
        <f t="shared" ref="J7" si="3">I7+1</f>
        <v>6</v>
      </c>
      <c r="K7" s="476">
        <f t="shared" ref="K7" si="4">J7+1</f>
        <v>7</v>
      </c>
      <c r="L7" s="477">
        <f t="shared" ref="L7" si="5">K7+1</f>
        <v>8</v>
      </c>
      <c r="M7" s="476">
        <f t="shared" ref="M7" si="6">L7+1</f>
        <v>9</v>
      </c>
      <c r="N7" s="477">
        <f t="shared" ref="N7" si="7">M7+1</f>
        <v>10</v>
      </c>
      <c r="O7" s="62"/>
    </row>
    <row r="8" spans="1:15" ht="21" customHeight="1" thickBot="1" x14ac:dyDescent="0.3">
      <c r="B8" s="537"/>
      <c r="C8" s="542"/>
      <c r="D8" s="241" t="s">
        <v>281</v>
      </c>
      <c r="E8" s="478" t="s">
        <v>438</v>
      </c>
      <c r="F8" s="479" t="s">
        <v>438</v>
      </c>
      <c r="G8" s="478" t="s">
        <v>438</v>
      </c>
      <c r="H8" s="479" t="s">
        <v>438</v>
      </c>
      <c r="I8" s="478" t="s">
        <v>438</v>
      </c>
      <c r="J8" s="479" t="s">
        <v>438</v>
      </c>
      <c r="K8" s="478" t="s">
        <v>438</v>
      </c>
      <c r="L8" s="479"/>
      <c r="M8" s="478"/>
      <c r="N8" s="479"/>
      <c r="O8" s="62"/>
    </row>
    <row r="9" spans="1:15" ht="18.75" customHeight="1" x14ac:dyDescent="0.25">
      <c r="B9" s="537"/>
      <c r="C9" s="542"/>
      <c r="D9" s="235" t="s">
        <v>51</v>
      </c>
      <c r="E9" s="252" t="s">
        <v>439</v>
      </c>
      <c r="F9" s="278" t="s">
        <v>439</v>
      </c>
      <c r="G9" s="252" t="s">
        <v>439</v>
      </c>
      <c r="H9" s="278" t="s">
        <v>439</v>
      </c>
      <c r="I9" s="252" t="s">
        <v>439</v>
      </c>
      <c r="J9" s="278" t="s">
        <v>439</v>
      </c>
      <c r="K9" s="252" t="s">
        <v>439</v>
      </c>
      <c r="L9" s="278"/>
      <c r="M9" s="252"/>
      <c r="N9" s="278"/>
      <c r="O9" s="59"/>
    </row>
    <row r="10" spans="1:15" ht="18.75" customHeight="1" x14ac:dyDescent="0.25">
      <c r="B10" s="537"/>
      <c r="C10" s="542"/>
      <c r="D10" s="14" t="s">
        <v>52</v>
      </c>
      <c r="E10" s="16" t="s">
        <v>440</v>
      </c>
      <c r="F10" s="15" t="s">
        <v>440</v>
      </c>
      <c r="G10" s="16" t="s">
        <v>440</v>
      </c>
      <c r="H10" s="15" t="s">
        <v>440</v>
      </c>
      <c r="I10" s="16" t="s">
        <v>440</v>
      </c>
      <c r="J10" s="15" t="s">
        <v>440</v>
      </c>
      <c r="K10" s="16" t="s">
        <v>440</v>
      </c>
      <c r="L10" s="15"/>
      <c r="M10" s="16"/>
      <c r="N10" s="15"/>
      <c r="O10" s="59"/>
    </row>
    <row r="11" spans="1:15" ht="18.75" customHeight="1" x14ac:dyDescent="0.25">
      <c r="B11" s="537"/>
      <c r="C11" s="542"/>
      <c r="D11" s="14" t="s">
        <v>219</v>
      </c>
      <c r="E11" s="16" t="s">
        <v>489</v>
      </c>
      <c r="F11" s="15" t="s">
        <v>489</v>
      </c>
      <c r="G11" s="16" t="s">
        <v>489</v>
      </c>
      <c r="H11" s="15" t="s">
        <v>489</v>
      </c>
      <c r="I11" s="16" t="s">
        <v>489</v>
      </c>
      <c r="J11" s="15" t="s">
        <v>489</v>
      </c>
      <c r="K11" s="16" t="s">
        <v>489</v>
      </c>
      <c r="L11" s="15"/>
      <c r="M11" s="16"/>
      <c r="N11" s="15"/>
      <c r="O11" s="59"/>
    </row>
    <row r="12" spans="1:15" s="394" customFormat="1" ht="18.75" customHeight="1" x14ac:dyDescent="0.25">
      <c r="B12" s="537"/>
      <c r="C12" s="542"/>
      <c r="D12" s="395" t="s">
        <v>412</v>
      </c>
      <c r="E12" s="396">
        <v>9184592400</v>
      </c>
      <c r="F12" s="397">
        <v>9184592400</v>
      </c>
      <c r="G12" s="396">
        <v>9184592400</v>
      </c>
      <c r="H12" s="397">
        <v>9184592400</v>
      </c>
      <c r="I12" s="396">
        <v>9184592400</v>
      </c>
      <c r="J12" s="397">
        <v>9184592400</v>
      </c>
      <c r="K12" s="396">
        <v>9184592400</v>
      </c>
      <c r="L12" s="397"/>
      <c r="M12" s="396"/>
      <c r="N12" s="397"/>
      <c r="O12" s="398"/>
    </row>
    <row r="13" spans="1:15" ht="18" customHeight="1" x14ac:dyDescent="0.25">
      <c r="B13" s="537"/>
      <c r="C13" s="542"/>
      <c r="D13" s="14" t="s">
        <v>10</v>
      </c>
      <c r="E13" s="16" t="s">
        <v>441</v>
      </c>
      <c r="F13" s="15" t="s">
        <v>489</v>
      </c>
      <c r="G13" s="16" t="s">
        <v>489</v>
      </c>
      <c r="H13" s="15" t="s">
        <v>489</v>
      </c>
      <c r="I13" s="16" t="s">
        <v>489</v>
      </c>
      <c r="J13" s="15" t="s">
        <v>441</v>
      </c>
      <c r="K13" s="16" t="s">
        <v>441</v>
      </c>
      <c r="L13" s="15"/>
      <c r="M13" s="16"/>
      <c r="N13" s="15"/>
      <c r="O13" s="59"/>
    </row>
    <row r="14" spans="1:15" s="56" customFormat="1" ht="18" customHeight="1" x14ac:dyDescent="0.25">
      <c r="B14" s="537"/>
      <c r="C14" s="542"/>
      <c r="D14" s="53" t="s">
        <v>62</v>
      </c>
      <c r="E14" s="55">
        <v>9182876104</v>
      </c>
      <c r="F14" s="54">
        <v>9184592400</v>
      </c>
      <c r="G14" s="55">
        <v>9184592400</v>
      </c>
      <c r="H14" s="54">
        <v>9184592400</v>
      </c>
      <c r="I14" s="55">
        <v>9184592400</v>
      </c>
      <c r="J14" s="54">
        <v>9182876104</v>
      </c>
      <c r="K14" s="55">
        <v>9182876104</v>
      </c>
      <c r="L14" s="54"/>
      <c r="M14" s="55"/>
      <c r="N14" s="54"/>
      <c r="O14" s="60"/>
    </row>
    <row r="15" spans="1:15" s="56" customFormat="1" ht="18" customHeight="1" x14ac:dyDescent="0.25">
      <c r="B15" s="537"/>
      <c r="C15" s="542"/>
      <c r="D15" s="53" t="s">
        <v>221</v>
      </c>
      <c r="E15" s="55" t="s">
        <v>442</v>
      </c>
      <c r="F15" s="54" t="s">
        <v>442</v>
      </c>
      <c r="G15" s="55" t="s">
        <v>443</v>
      </c>
      <c r="H15" s="54" t="s">
        <v>444</v>
      </c>
      <c r="I15" s="55" t="s">
        <v>444</v>
      </c>
      <c r="J15" s="54" t="s">
        <v>444</v>
      </c>
      <c r="K15" s="55" t="s">
        <v>444</v>
      </c>
      <c r="L15" s="54"/>
      <c r="M15" s="55"/>
      <c r="N15" s="54"/>
      <c r="O15" s="60"/>
    </row>
    <row r="16" spans="1:15" s="56" customFormat="1" ht="18" customHeight="1" x14ac:dyDescent="0.25">
      <c r="B16" s="537"/>
      <c r="C16" s="542"/>
      <c r="D16" s="53" t="s">
        <v>107</v>
      </c>
      <c r="E16" s="55"/>
      <c r="F16" s="54"/>
      <c r="G16" s="55"/>
      <c r="H16" s="54"/>
      <c r="I16" s="55"/>
      <c r="J16" s="54"/>
      <c r="K16" s="55"/>
      <c r="L16" s="54"/>
      <c r="M16" s="55"/>
      <c r="N16" s="54"/>
      <c r="O16" s="60"/>
    </row>
    <row r="17" spans="2:15" s="56" customFormat="1" ht="18" customHeight="1" x14ac:dyDescent="0.25">
      <c r="B17" s="537"/>
      <c r="C17" s="542"/>
      <c r="D17" s="53" t="s">
        <v>32</v>
      </c>
      <c r="E17" s="55">
        <v>705747713</v>
      </c>
      <c r="F17" s="54">
        <v>705748285</v>
      </c>
      <c r="G17" s="55">
        <v>78788565</v>
      </c>
      <c r="H17" s="54">
        <v>715839738</v>
      </c>
      <c r="I17" s="55">
        <v>751868392</v>
      </c>
      <c r="J17" s="54">
        <v>715964340</v>
      </c>
      <c r="K17" s="55">
        <v>715832289</v>
      </c>
      <c r="L17" s="54"/>
      <c r="M17" s="55"/>
      <c r="N17" s="54"/>
      <c r="O17" s="60"/>
    </row>
    <row r="18" spans="2:15" ht="18" customHeight="1" x14ac:dyDescent="0.25">
      <c r="B18" s="537"/>
      <c r="C18" s="542"/>
      <c r="D18" s="14" t="s">
        <v>21</v>
      </c>
      <c r="E18" s="16" t="s">
        <v>445</v>
      </c>
      <c r="F18" s="15" t="s">
        <v>445</v>
      </c>
      <c r="G18" s="16" t="s">
        <v>445</v>
      </c>
      <c r="H18" s="15" t="s">
        <v>445</v>
      </c>
      <c r="I18" s="16" t="s">
        <v>445</v>
      </c>
      <c r="J18" s="15" t="s">
        <v>445</v>
      </c>
      <c r="K18" s="16" t="s">
        <v>445</v>
      </c>
      <c r="L18" s="15"/>
      <c r="M18" s="16"/>
      <c r="N18" s="15"/>
      <c r="O18" s="59"/>
    </row>
    <row r="19" spans="2:15" s="73" customFormat="1" ht="18" customHeight="1" x14ac:dyDescent="0.25">
      <c r="B19" s="537"/>
      <c r="C19" s="542"/>
      <c r="D19" s="74" t="s">
        <v>53</v>
      </c>
      <c r="E19" s="242" t="s">
        <v>446</v>
      </c>
      <c r="F19" s="75" t="s">
        <v>447</v>
      </c>
      <c r="G19" s="242" t="s">
        <v>448</v>
      </c>
      <c r="H19" s="75" t="s">
        <v>449</v>
      </c>
      <c r="I19" s="242" t="s">
        <v>450</v>
      </c>
      <c r="J19" s="318" t="s">
        <v>451</v>
      </c>
      <c r="K19" s="76" t="s">
        <v>452</v>
      </c>
      <c r="L19" s="318"/>
      <c r="M19" s="76"/>
      <c r="N19" s="318"/>
      <c r="O19" s="77"/>
    </row>
    <row r="20" spans="2:15" s="73" customFormat="1" ht="18" customHeight="1" x14ac:dyDescent="0.25">
      <c r="B20" s="537"/>
      <c r="C20" s="542"/>
      <c r="D20" s="74" t="s">
        <v>54</v>
      </c>
      <c r="E20" s="242" t="s">
        <v>453</v>
      </c>
      <c r="F20" s="75" t="s">
        <v>454</v>
      </c>
      <c r="G20" s="242" t="s">
        <v>455</v>
      </c>
      <c r="H20" s="75" t="s">
        <v>456</v>
      </c>
      <c r="I20" s="242" t="s">
        <v>457</v>
      </c>
      <c r="J20" s="318" t="s">
        <v>458</v>
      </c>
      <c r="K20" s="76" t="s">
        <v>459</v>
      </c>
      <c r="L20" s="318"/>
      <c r="M20" s="76"/>
      <c r="N20" s="318"/>
      <c r="O20" s="77"/>
    </row>
    <row r="21" spans="2:15" s="73" customFormat="1" ht="18" customHeight="1" thickBot="1" x14ac:dyDescent="0.3">
      <c r="B21" s="537"/>
      <c r="C21" s="542"/>
      <c r="D21" s="236" t="s">
        <v>55</v>
      </c>
      <c r="E21" s="253" t="s">
        <v>460</v>
      </c>
      <c r="F21" s="313" t="s">
        <v>461</v>
      </c>
      <c r="G21" s="253" t="s">
        <v>462</v>
      </c>
      <c r="H21" s="313" t="s">
        <v>463</v>
      </c>
      <c r="I21" s="253" t="s">
        <v>464</v>
      </c>
      <c r="J21" s="319" t="s">
        <v>465</v>
      </c>
      <c r="K21" s="320" t="s">
        <v>466</v>
      </c>
      <c r="L21" s="319"/>
      <c r="M21" s="320"/>
      <c r="N21" s="319"/>
      <c r="O21" s="77"/>
    </row>
    <row r="22" spans="2:15" ht="18.75" customHeight="1" x14ac:dyDescent="0.25">
      <c r="B22" s="535" t="s">
        <v>11</v>
      </c>
      <c r="C22" s="541"/>
      <c r="D22" s="78" t="s">
        <v>0</v>
      </c>
      <c r="E22" s="18">
        <v>16</v>
      </c>
      <c r="F22" s="279">
        <v>16</v>
      </c>
      <c r="G22" s="18">
        <v>20</v>
      </c>
      <c r="H22" s="279">
        <v>22</v>
      </c>
      <c r="I22" s="18">
        <v>17</v>
      </c>
      <c r="J22" s="279">
        <v>25</v>
      </c>
      <c r="K22" s="18">
        <v>25</v>
      </c>
      <c r="L22" s="279"/>
      <c r="M22" s="18"/>
      <c r="N22" s="279"/>
      <c r="O22" s="63"/>
    </row>
    <row r="23" spans="2:15" ht="18.75" customHeight="1" x14ac:dyDescent="0.25">
      <c r="B23" s="537"/>
      <c r="C23" s="542"/>
      <c r="D23" s="19" t="s">
        <v>1</v>
      </c>
      <c r="E23" s="20">
        <v>16</v>
      </c>
      <c r="F23" s="21">
        <v>16</v>
      </c>
      <c r="G23" s="20">
        <v>20</v>
      </c>
      <c r="H23" s="21">
        <v>22</v>
      </c>
      <c r="I23" s="20">
        <v>17</v>
      </c>
      <c r="J23" s="21">
        <v>25</v>
      </c>
      <c r="K23" s="20">
        <v>25</v>
      </c>
      <c r="L23" s="21"/>
      <c r="M23" s="20"/>
      <c r="N23" s="21"/>
      <c r="O23" s="63"/>
    </row>
    <row r="24" spans="2:15" ht="18.75" customHeight="1" x14ac:dyDescent="0.25">
      <c r="B24" s="537"/>
      <c r="C24" s="542"/>
      <c r="D24" s="19" t="s">
        <v>2</v>
      </c>
      <c r="E24" s="22">
        <f t="shared" ref="E24:N24" si="8">E22-E23</f>
        <v>0</v>
      </c>
      <c r="F24" s="280">
        <f t="shared" si="8"/>
        <v>0</v>
      </c>
      <c r="G24" s="22">
        <f t="shared" si="8"/>
        <v>0</v>
      </c>
      <c r="H24" s="280">
        <f t="shared" si="8"/>
        <v>0</v>
      </c>
      <c r="I24" s="22">
        <f t="shared" si="8"/>
        <v>0</v>
      </c>
      <c r="J24" s="280">
        <f t="shared" si="8"/>
        <v>0</v>
      </c>
      <c r="K24" s="22">
        <f t="shared" si="8"/>
        <v>0</v>
      </c>
      <c r="L24" s="280">
        <f t="shared" si="8"/>
        <v>0</v>
      </c>
      <c r="M24" s="22">
        <f t="shared" si="8"/>
        <v>0</v>
      </c>
      <c r="N24" s="280">
        <f t="shared" si="8"/>
        <v>0</v>
      </c>
      <c r="O24" s="64"/>
    </row>
    <row r="25" spans="2:15" ht="18.75" customHeight="1" x14ac:dyDescent="0.25">
      <c r="B25" s="537"/>
      <c r="C25" s="542"/>
      <c r="D25" s="19" t="s">
        <v>109</v>
      </c>
      <c r="E25" s="23">
        <f>(E23/E22)*100</f>
        <v>100</v>
      </c>
      <c r="F25" s="281">
        <f t="shared" ref="F25:L25" si="9">(F23/F22)*100</f>
        <v>100</v>
      </c>
      <c r="G25" s="23">
        <f t="shared" si="9"/>
        <v>100</v>
      </c>
      <c r="H25" s="281">
        <f t="shared" si="9"/>
        <v>100</v>
      </c>
      <c r="I25" s="23">
        <f t="shared" si="9"/>
        <v>100</v>
      </c>
      <c r="J25" s="281">
        <f t="shared" si="9"/>
        <v>100</v>
      </c>
      <c r="K25" s="23">
        <f t="shared" si="9"/>
        <v>100</v>
      </c>
      <c r="L25" s="281" t="e">
        <f t="shared" si="9"/>
        <v>#DIV/0!</v>
      </c>
      <c r="M25" s="23" t="e">
        <f t="shared" ref="M25" si="10">(M23/M22)*100</f>
        <v>#DIV/0!</v>
      </c>
      <c r="N25" s="281" t="e">
        <f>(N23/N22)*100</f>
        <v>#DIV/0!</v>
      </c>
      <c r="O25" s="65"/>
    </row>
    <row r="26" spans="2:15" ht="18.75" customHeight="1" x14ac:dyDescent="0.25">
      <c r="B26" s="537"/>
      <c r="C26" s="542"/>
      <c r="D26" s="19" t="s">
        <v>67</v>
      </c>
      <c r="E26" s="20">
        <v>0</v>
      </c>
      <c r="F26" s="21">
        <v>0</v>
      </c>
      <c r="G26" s="20">
        <v>3</v>
      </c>
      <c r="H26" s="21">
        <v>0</v>
      </c>
      <c r="I26" s="20">
        <v>1</v>
      </c>
      <c r="J26" s="21">
        <v>0</v>
      </c>
      <c r="K26" s="20">
        <v>1</v>
      </c>
      <c r="L26" s="21"/>
      <c r="M26" s="20"/>
      <c r="N26" s="21"/>
      <c r="O26" s="63"/>
    </row>
    <row r="27" spans="2:15" ht="18.75" customHeight="1" x14ac:dyDescent="0.25">
      <c r="B27" s="537"/>
      <c r="C27" s="542"/>
      <c r="D27" s="19" t="s">
        <v>110</v>
      </c>
      <c r="E27" s="22">
        <f>(E26/E22)*100</f>
        <v>0</v>
      </c>
      <c r="F27" s="280">
        <f t="shared" ref="F27:L27" si="11">(F26/F22)*100</f>
        <v>0</v>
      </c>
      <c r="G27" s="22">
        <f t="shared" si="11"/>
        <v>15</v>
      </c>
      <c r="H27" s="280">
        <f t="shared" si="11"/>
        <v>0</v>
      </c>
      <c r="I27" s="22">
        <f t="shared" si="11"/>
        <v>5.8823529411764701</v>
      </c>
      <c r="J27" s="280">
        <f t="shared" si="11"/>
        <v>0</v>
      </c>
      <c r="K27" s="22">
        <f t="shared" si="11"/>
        <v>4</v>
      </c>
      <c r="L27" s="280" t="e">
        <f t="shared" si="11"/>
        <v>#DIV/0!</v>
      </c>
      <c r="M27" s="22" t="e">
        <f t="shared" ref="M27:N27" si="12">(M26/M22)*100</f>
        <v>#DIV/0!</v>
      </c>
      <c r="N27" s="280" t="e">
        <f t="shared" si="12"/>
        <v>#DIV/0!</v>
      </c>
      <c r="O27" s="64"/>
    </row>
    <row r="28" spans="2:15" ht="18" customHeight="1" x14ac:dyDescent="0.25">
      <c r="B28" s="537"/>
      <c r="C28" s="542"/>
      <c r="D28" s="19" t="s">
        <v>23</v>
      </c>
      <c r="E28" s="20" t="s">
        <v>467</v>
      </c>
      <c r="F28" s="21">
        <v>0</v>
      </c>
      <c r="G28" s="20">
        <v>0</v>
      </c>
      <c r="H28" s="21">
        <v>0</v>
      </c>
      <c r="I28" s="20">
        <v>0</v>
      </c>
      <c r="J28" s="21">
        <v>0</v>
      </c>
      <c r="K28" s="20">
        <v>0</v>
      </c>
      <c r="L28" s="21"/>
      <c r="M28" s="20"/>
      <c r="N28" s="21"/>
      <c r="O28" s="63"/>
    </row>
    <row r="29" spans="2:15" ht="18" customHeight="1" thickBot="1" x14ac:dyDescent="0.3">
      <c r="B29" s="539"/>
      <c r="C29" s="543"/>
      <c r="D29" s="24" t="s">
        <v>108</v>
      </c>
      <c r="E29" s="25">
        <v>35</v>
      </c>
      <c r="F29" s="26">
        <v>34</v>
      </c>
      <c r="G29" s="25">
        <v>35</v>
      </c>
      <c r="H29" s="26">
        <v>34</v>
      </c>
      <c r="I29" s="25">
        <v>39</v>
      </c>
      <c r="J29" s="26">
        <v>34</v>
      </c>
      <c r="K29" s="25">
        <v>39</v>
      </c>
      <c r="L29" s="26"/>
      <c r="M29" s="25"/>
      <c r="N29" s="26"/>
      <c r="O29" s="63"/>
    </row>
    <row r="30" spans="2:15" ht="18" customHeight="1" x14ac:dyDescent="0.25">
      <c r="B30" s="535" t="s">
        <v>4</v>
      </c>
      <c r="C30" s="541"/>
      <c r="D30" s="29" t="s">
        <v>29</v>
      </c>
      <c r="E30" s="30">
        <v>6</v>
      </c>
      <c r="F30" s="31">
        <v>2</v>
      </c>
      <c r="G30" s="30">
        <v>14</v>
      </c>
      <c r="H30" s="31">
        <v>2</v>
      </c>
      <c r="I30" s="30">
        <v>10</v>
      </c>
      <c r="J30" s="31">
        <v>8</v>
      </c>
      <c r="K30" s="30">
        <v>9</v>
      </c>
      <c r="L30" s="31"/>
      <c r="M30" s="30"/>
      <c r="N30" s="31"/>
      <c r="O30" s="66"/>
    </row>
    <row r="31" spans="2:15" ht="18" customHeight="1" x14ac:dyDescent="0.25">
      <c r="B31" s="537"/>
      <c r="C31" s="542"/>
      <c r="D31" s="32" t="s">
        <v>31</v>
      </c>
      <c r="E31" s="33">
        <v>8</v>
      </c>
      <c r="F31" s="34">
        <v>8</v>
      </c>
      <c r="G31" s="33">
        <v>2</v>
      </c>
      <c r="H31" s="34">
        <v>8</v>
      </c>
      <c r="I31" s="33">
        <v>5</v>
      </c>
      <c r="J31" s="34">
        <v>11</v>
      </c>
      <c r="K31" s="33">
        <v>10</v>
      </c>
      <c r="L31" s="34"/>
      <c r="M31" s="33"/>
      <c r="N31" s="34"/>
      <c r="O31" s="66"/>
    </row>
    <row r="32" spans="2:15" ht="18" customHeight="1" x14ac:dyDescent="0.25">
      <c r="B32" s="537"/>
      <c r="C32" s="542"/>
      <c r="D32" s="32" t="s">
        <v>30</v>
      </c>
      <c r="E32" s="33">
        <v>2</v>
      </c>
      <c r="F32" s="34">
        <v>5</v>
      </c>
      <c r="G32" s="33">
        <v>4</v>
      </c>
      <c r="H32" s="34">
        <v>9</v>
      </c>
      <c r="I32" s="33">
        <v>2</v>
      </c>
      <c r="J32" s="34">
        <v>5</v>
      </c>
      <c r="K32" s="33">
        <v>6</v>
      </c>
      <c r="L32" s="34"/>
      <c r="M32" s="33"/>
      <c r="N32" s="34"/>
      <c r="O32" s="66"/>
    </row>
    <row r="33" spans="2:15" ht="18" customHeight="1" x14ac:dyDescent="0.25">
      <c r="B33" s="537"/>
      <c r="C33" s="542"/>
      <c r="D33" s="383" t="s">
        <v>15</v>
      </c>
      <c r="E33" s="384">
        <v>0</v>
      </c>
      <c r="F33" s="385">
        <v>1</v>
      </c>
      <c r="G33" s="384">
        <v>0</v>
      </c>
      <c r="H33" s="385">
        <v>3</v>
      </c>
      <c r="I33" s="384">
        <v>0</v>
      </c>
      <c r="J33" s="385">
        <v>1</v>
      </c>
      <c r="K33" s="384">
        <v>0</v>
      </c>
      <c r="L33" s="385"/>
      <c r="M33" s="384"/>
      <c r="N33" s="385"/>
      <c r="O33" s="66"/>
    </row>
    <row r="34" spans="2:15" ht="18" customHeight="1" thickBot="1" x14ac:dyDescent="0.3">
      <c r="B34" s="539"/>
      <c r="C34" s="543"/>
      <c r="D34" s="35" t="s">
        <v>413</v>
      </c>
      <c r="E34" s="36">
        <f>SUM(E30:E33)</f>
        <v>16</v>
      </c>
      <c r="F34" s="36">
        <f t="shared" ref="F34:N34" si="13">SUM(F30:F33)</f>
        <v>16</v>
      </c>
      <c r="G34" s="36">
        <f t="shared" si="13"/>
        <v>20</v>
      </c>
      <c r="H34" s="36">
        <f t="shared" si="13"/>
        <v>22</v>
      </c>
      <c r="I34" s="36">
        <f t="shared" si="13"/>
        <v>17</v>
      </c>
      <c r="J34" s="36">
        <f t="shared" si="13"/>
        <v>25</v>
      </c>
      <c r="K34" s="36">
        <f t="shared" si="13"/>
        <v>25</v>
      </c>
      <c r="L34" s="36">
        <f t="shared" si="13"/>
        <v>0</v>
      </c>
      <c r="M34" s="36">
        <f t="shared" si="13"/>
        <v>0</v>
      </c>
      <c r="N34" s="36">
        <f t="shared" si="13"/>
        <v>0</v>
      </c>
      <c r="O34" s="66"/>
    </row>
    <row r="35" spans="2:15" ht="18" customHeight="1" x14ac:dyDescent="0.25">
      <c r="B35" s="535" t="s">
        <v>5</v>
      </c>
      <c r="C35" s="541"/>
      <c r="D35" s="239" t="s">
        <v>28</v>
      </c>
      <c r="E35" s="254" t="s">
        <v>468</v>
      </c>
      <c r="F35" s="282" t="s">
        <v>468</v>
      </c>
      <c r="G35" s="254" t="s">
        <v>469</v>
      </c>
      <c r="H35" s="282" t="s">
        <v>468</v>
      </c>
      <c r="I35" s="254" t="s">
        <v>469</v>
      </c>
      <c r="J35" s="282" t="s">
        <v>469</v>
      </c>
      <c r="K35" s="254" t="s">
        <v>468</v>
      </c>
      <c r="L35" s="282"/>
      <c r="M35" s="254"/>
      <c r="N35" s="282"/>
      <c r="O35" s="67"/>
    </row>
    <row r="36" spans="2:15" ht="18" customHeight="1" x14ac:dyDescent="0.25">
      <c r="B36" s="537"/>
      <c r="C36" s="542"/>
      <c r="D36" s="37" t="s">
        <v>27</v>
      </c>
      <c r="E36" s="38" t="s">
        <v>469</v>
      </c>
      <c r="F36" s="39" t="s">
        <v>468</v>
      </c>
      <c r="G36" s="38" t="s">
        <v>468</v>
      </c>
      <c r="H36" s="39" t="s">
        <v>468</v>
      </c>
      <c r="I36" s="38" t="s">
        <v>469</v>
      </c>
      <c r="J36" s="39" t="s">
        <v>469</v>
      </c>
      <c r="K36" s="38" t="s">
        <v>469</v>
      </c>
      <c r="L36" s="39"/>
      <c r="M36" s="38"/>
      <c r="N36" s="39"/>
      <c r="O36" s="67"/>
    </row>
    <row r="37" spans="2:15" ht="18" customHeight="1" x14ac:dyDescent="0.25">
      <c r="B37" s="537"/>
      <c r="C37" s="542"/>
      <c r="D37" s="37" t="s">
        <v>70</v>
      </c>
      <c r="E37" s="38" t="s">
        <v>470</v>
      </c>
      <c r="F37" s="39" t="s">
        <v>470</v>
      </c>
      <c r="G37" s="38" t="s">
        <v>470</v>
      </c>
      <c r="H37" s="39" t="s">
        <v>468</v>
      </c>
      <c r="I37" s="38" t="s">
        <v>469</v>
      </c>
      <c r="J37" s="39" t="s">
        <v>469</v>
      </c>
      <c r="K37" s="38" t="s">
        <v>469</v>
      </c>
      <c r="L37" s="39"/>
      <c r="M37" s="38"/>
      <c r="N37" s="39"/>
      <c r="O37" s="67"/>
    </row>
    <row r="38" spans="2:15" ht="18" customHeight="1" x14ac:dyDescent="0.25">
      <c r="B38" s="537"/>
      <c r="C38" s="542"/>
      <c r="D38" s="37" t="s">
        <v>26</v>
      </c>
      <c r="E38" s="38" t="s">
        <v>469</v>
      </c>
      <c r="F38" s="39" t="s">
        <v>469</v>
      </c>
      <c r="G38" s="38" t="s">
        <v>469</v>
      </c>
      <c r="H38" s="39" t="s">
        <v>469</v>
      </c>
      <c r="I38" s="38" t="s">
        <v>469</v>
      </c>
      <c r="J38" s="39" t="s">
        <v>469</v>
      </c>
      <c r="K38" s="38" t="s">
        <v>469</v>
      </c>
      <c r="L38" s="39"/>
      <c r="M38" s="38"/>
      <c r="N38" s="39"/>
      <c r="O38" s="67"/>
    </row>
    <row r="39" spans="2:15" ht="18" customHeight="1" thickBot="1" x14ac:dyDescent="0.3">
      <c r="B39" s="539"/>
      <c r="C39" s="543"/>
      <c r="D39" s="240" t="s">
        <v>6</v>
      </c>
      <c r="E39" s="40" t="s">
        <v>471</v>
      </c>
      <c r="F39" s="283" t="s">
        <v>471</v>
      </c>
      <c r="G39" s="40" t="s">
        <v>471</v>
      </c>
      <c r="H39" s="283" t="s">
        <v>471</v>
      </c>
      <c r="I39" s="40" t="s">
        <v>472</v>
      </c>
      <c r="J39" s="283" t="s">
        <v>472</v>
      </c>
      <c r="K39" s="40" t="s">
        <v>472</v>
      </c>
      <c r="L39" s="283"/>
      <c r="M39" s="40"/>
      <c r="N39" s="283"/>
      <c r="O39" s="67"/>
    </row>
    <row r="40" spans="2:15" ht="18" customHeight="1" x14ac:dyDescent="0.25">
      <c r="B40" s="535" t="s">
        <v>16</v>
      </c>
      <c r="C40" s="541"/>
      <c r="D40" s="41" t="s">
        <v>315</v>
      </c>
      <c r="E40" s="42" t="s">
        <v>471</v>
      </c>
      <c r="F40" s="43" t="s">
        <v>471</v>
      </c>
      <c r="G40" s="42" t="s">
        <v>471</v>
      </c>
      <c r="H40" s="43" t="s">
        <v>471</v>
      </c>
      <c r="I40" s="42" t="s">
        <v>471</v>
      </c>
      <c r="J40" s="43" t="s">
        <v>471</v>
      </c>
      <c r="K40" s="42" t="s">
        <v>471</v>
      </c>
      <c r="L40" s="43"/>
      <c r="M40" s="42"/>
      <c r="N40" s="43"/>
      <c r="O40" s="68"/>
    </row>
    <row r="41" spans="2:15" ht="18" customHeight="1" x14ac:dyDescent="0.25">
      <c r="B41" s="537"/>
      <c r="C41" s="542"/>
      <c r="D41" s="44" t="s">
        <v>111</v>
      </c>
      <c r="E41" s="45" t="s">
        <v>473</v>
      </c>
      <c r="F41" s="46" t="s">
        <v>473</v>
      </c>
      <c r="G41" s="45" t="s">
        <v>473</v>
      </c>
      <c r="H41" s="46" t="s">
        <v>473</v>
      </c>
      <c r="I41" s="45" t="s">
        <v>473</v>
      </c>
      <c r="J41" s="46" t="s">
        <v>473</v>
      </c>
      <c r="K41" s="45" t="s">
        <v>473</v>
      </c>
      <c r="L41" s="46"/>
      <c r="M41" s="45"/>
      <c r="N41" s="46"/>
      <c r="O41" s="68"/>
    </row>
    <row r="42" spans="2:15" ht="18" customHeight="1" x14ac:dyDescent="0.25">
      <c r="B42" s="537"/>
      <c r="C42" s="542"/>
      <c r="D42" s="44" t="s">
        <v>57</v>
      </c>
      <c r="E42" s="45" t="s">
        <v>474</v>
      </c>
      <c r="F42" s="46" t="s">
        <v>474</v>
      </c>
      <c r="G42" s="45" t="s">
        <v>474</v>
      </c>
      <c r="H42" s="46" t="s">
        <v>474</v>
      </c>
      <c r="I42" s="45" t="s">
        <v>474</v>
      </c>
      <c r="J42" s="46" t="s">
        <v>474</v>
      </c>
      <c r="K42" s="45" t="s">
        <v>474</v>
      </c>
      <c r="L42" s="46"/>
      <c r="M42" s="45"/>
      <c r="N42" s="46"/>
      <c r="O42" s="68"/>
    </row>
    <row r="43" spans="2:15" ht="18" customHeight="1" x14ac:dyDescent="0.25">
      <c r="B43" s="537"/>
      <c r="C43" s="542"/>
      <c r="D43" s="44" t="s">
        <v>112</v>
      </c>
      <c r="E43" s="45"/>
      <c r="F43" s="46"/>
      <c r="G43" s="45"/>
      <c r="H43" s="46"/>
      <c r="I43" s="45"/>
      <c r="J43" s="46"/>
      <c r="K43" s="45"/>
      <c r="L43" s="46"/>
      <c r="M43" s="45"/>
      <c r="N43" s="46"/>
      <c r="O43" s="68"/>
    </row>
    <row r="44" spans="2:15" ht="18" customHeight="1" x14ac:dyDescent="0.25">
      <c r="B44" s="537"/>
      <c r="C44" s="542"/>
      <c r="D44" s="44" t="s">
        <v>17</v>
      </c>
      <c r="E44" s="45" t="s">
        <v>475</v>
      </c>
      <c r="F44" s="46" t="s">
        <v>475</v>
      </c>
      <c r="G44" s="45" t="s">
        <v>475</v>
      </c>
      <c r="H44" s="46" t="s">
        <v>475</v>
      </c>
      <c r="I44" s="45" t="s">
        <v>475</v>
      </c>
      <c r="J44" s="46" t="s">
        <v>475</v>
      </c>
      <c r="K44" s="45" t="s">
        <v>475</v>
      </c>
      <c r="L44" s="46"/>
      <c r="M44" s="45"/>
      <c r="N44" s="46"/>
      <c r="O44" s="68"/>
    </row>
    <row r="45" spans="2:15" ht="18" customHeight="1" x14ac:dyDescent="0.25">
      <c r="B45" s="537"/>
      <c r="C45" s="542"/>
      <c r="D45" s="44" t="s">
        <v>7</v>
      </c>
      <c r="E45" s="45" t="s">
        <v>472</v>
      </c>
      <c r="F45" s="46" t="s">
        <v>472</v>
      </c>
      <c r="G45" s="45" t="s">
        <v>472</v>
      </c>
      <c r="H45" s="46" t="s">
        <v>472</v>
      </c>
      <c r="I45" s="45" t="s">
        <v>472</v>
      </c>
      <c r="J45" s="46" t="s">
        <v>472</v>
      </c>
      <c r="K45" s="45" t="s">
        <v>472</v>
      </c>
      <c r="L45" s="46"/>
      <c r="M45" s="45"/>
      <c r="N45" s="46"/>
      <c r="O45" s="68"/>
    </row>
    <row r="46" spans="2:15" ht="18" customHeight="1" x14ac:dyDescent="0.25">
      <c r="B46" s="537"/>
      <c r="C46" s="542"/>
      <c r="D46" s="44" t="s">
        <v>113</v>
      </c>
      <c r="E46" s="45">
        <v>6</v>
      </c>
      <c r="F46" s="46">
        <v>6</v>
      </c>
      <c r="G46" s="45">
        <v>29</v>
      </c>
      <c r="H46" s="46">
        <v>30</v>
      </c>
      <c r="I46" s="45">
        <v>30</v>
      </c>
      <c r="J46" s="46">
        <v>30</v>
      </c>
      <c r="K46" s="45">
        <v>30</v>
      </c>
      <c r="L46" s="46"/>
      <c r="M46" s="45"/>
      <c r="N46" s="46"/>
      <c r="O46" s="68"/>
    </row>
    <row r="47" spans="2:15" ht="18" customHeight="1" x14ac:dyDescent="0.25">
      <c r="B47" s="537"/>
      <c r="C47" s="542"/>
      <c r="D47" s="44" t="s">
        <v>18</v>
      </c>
      <c r="E47" s="45" t="s">
        <v>476</v>
      </c>
      <c r="F47" s="46" t="s">
        <v>477</v>
      </c>
      <c r="G47" s="45" t="s">
        <v>478</v>
      </c>
      <c r="H47" s="46" t="s">
        <v>478</v>
      </c>
      <c r="I47" s="45" t="s">
        <v>478</v>
      </c>
      <c r="J47" s="46" t="s">
        <v>478</v>
      </c>
      <c r="K47" s="45" t="s">
        <v>479</v>
      </c>
      <c r="L47" s="46"/>
      <c r="M47" s="45"/>
      <c r="N47" s="46"/>
      <c r="O47" s="68"/>
    </row>
    <row r="48" spans="2:15" ht="18" customHeight="1" thickBot="1" x14ac:dyDescent="0.3">
      <c r="B48" s="537"/>
      <c r="C48" s="542"/>
      <c r="D48" s="47" t="s">
        <v>19</v>
      </c>
      <c r="E48" s="255" t="s">
        <v>480</v>
      </c>
      <c r="F48" s="284" t="s">
        <v>481</v>
      </c>
      <c r="G48" s="255" t="s">
        <v>482</v>
      </c>
      <c r="H48" s="284" t="s">
        <v>475</v>
      </c>
      <c r="I48" s="255" t="s">
        <v>483</v>
      </c>
      <c r="J48" s="284" t="s">
        <v>475</v>
      </c>
      <c r="K48" s="255" t="s">
        <v>475</v>
      </c>
      <c r="L48" s="284"/>
      <c r="M48" s="255"/>
      <c r="N48" s="284"/>
      <c r="O48" s="68"/>
    </row>
    <row r="49" spans="1:15" ht="18" customHeight="1" x14ac:dyDescent="0.25">
      <c r="B49" s="535" t="s">
        <v>115</v>
      </c>
      <c r="C49" s="541"/>
      <c r="D49" s="79" t="s">
        <v>114</v>
      </c>
      <c r="E49" s="256" t="s">
        <v>474</v>
      </c>
      <c r="F49" s="285" t="s">
        <v>474</v>
      </c>
      <c r="G49" s="256" t="s">
        <v>474</v>
      </c>
      <c r="H49" s="285" t="s">
        <v>474</v>
      </c>
      <c r="I49" s="256" t="s">
        <v>474</v>
      </c>
      <c r="J49" s="285" t="s">
        <v>474</v>
      </c>
      <c r="K49" s="256" t="s">
        <v>474</v>
      </c>
      <c r="L49" s="285"/>
      <c r="M49" s="256"/>
      <c r="N49" s="285"/>
      <c r="O49" s="7"/>
    </row>
    <row r="50" spans="1:15" ht="18" customHeight="1" x14ac:dyDescent="0.25">
      <c r="B50" s="537"/>
      <c r="C50" s="542"/>
      <c r="D50" s="27" t="s">
        <v>63</v>
      </c>
      <c r="E50" s="244">
        <v>100000</v>
      </c>
      <c r="F50" s="286">
        <v>150000</v>
      </c>
      <c r="G50" s="244">
        <v>100000</v>
      </c>
      <c r="H50" s="286">
        <v>200000</v>
      </c>
      <c r="I50" s="244">
        <v>100000</v>
      </c>
      <c r="J50" s="286">
        <v>200000</v>
      </c>
      <c r="K50" s="244">
        <v>150000</v>
      </c>
      <c r="L50" s="286"/>
      <c r="M50" s="244"/>
      <c r="N50" s="286"/>
      <c r="O50" s="7"/>
    </row>
    <row r="51" spans="1:15" ht="18" customHeight="1" x14ac:dyDescent="0.25">
      <c r="B51" s="537"/>
      <c r="C51" s="542"/>
      <c r="D51" s="27" t="s">
        <v>34</v>
      </c>
      <c r="E51" s="244">
        <v>43200000</v>
      </c>
      <c r="F51" s="286">
        <v>60000000</v>
      </c>
      <c r="G51" s="244">
        <v>56000000</v>
      </c>
      <c r="H51" s="286">
        <v>110000000</v>
      </c>
      <c r="I51" s="244">
        <v>40800000</v>
      </c>
      <c r="J51" s="286">
        <v>125000000</v>
      </c>
      <c r="K51" s="244">
        <v>66250000</v>
      </c>
      <c r="L51" s="286"/>
      <c r="M51" s="244"/>
      <c r="N51" s="286"/>
      <c r="O51" s="7"/>
    </row>
    <row r="52" spans="1:15" ht="18" customHeight="1" x14ac:dyDescent="0.25">
      <c r="B52" s="537"/>
      <c r="C52" s="542"/>
      <c r="D52" s="27" t="s">
        <v>116</v>
      </c>
      <c r="E52" s="244">
        <v>0</v>
      </c>
      <c r="F52" s="286">
        <v>0</v>
      </c>
      <c r="G52" s="244">
        <v>0</v>
      </c>
      <c r="H52" s="286">
        <v>0</v>
      </c>
      <c r="I52" s="244">
        <v>0</v>
      </c>
      <c r="J52" s="286">
        <v>0</v>
      </c>
      <c r="K52" s="244">
        <v>0</v>
      </c>
      <c r="L52" s="286"/>
      <c r="M52" s="244"/>
      <c r="N52" s="286"/>
      <c r="O52" s="7"/>
    </row>
    <row r="53" spans="1:15" ht="18.75" customHeight="1" x14ac:dyDescent="0.25">
      <c r="B53" s="537"/>
      <c r="C53" s="542"/>
      <c r="D53" s="27" t="s">
        <v>117</v>
      </c>
      <c r="E53" s="244">
        <v>10</v>
      </c>
      <c r="F53" s="286">
        <v>10</v>
      </c>
      <c r="G53" s="244">
        <v>10</v>
      </c>
      <c r="H53" s="286">
        <v>10</v>
      </c>
      <c r="I53" s="244">
        <v>10</v>
      </c>
      <c r="J53" s="286">
        <v>10</v>
      </c>
      <c r="K53" s="244">
        <v>10</v>
      </c>
      <c r="L53" s="286"/>
      <c r="M53" s="244"/>
      <c r="N53" s="286"/>
      <c r="O53" s="7"/>
    </row>
    <row r="54" spans="1:15" ht="18.75" customHeight="1" x14ac:dyDescent="0.25">
      <c r="B54" s="537"/>
      <c r="C54" s="542"/>
      <c r="D54" s="27" t="s">
        <v>118</v>
      </c>
      <c r="E54" s="244">
        <v>63000</v>
      </c>
      <c r="F54" s="286">
        <v>52000</v>
      </c>
      <c r="G54" s="244">
        <v>41000</v>
      </c>
      <c r="H54" s="286">
        <v>1872</v>
      </c>
      <c r="I54" s="244">
        <v>0</v>
      </c>
      <c r="J54" s="286">
        <v>2400</v>
      </c>
      <c r="K54" s="244">
        <v>4000</v>
      </c>
      <c r="L54" s="286"/>
      <c r="M54" s="244"/>
      <c r="N54" s="286"/>
      <c r="O54" s="7"/>
    </row>
    <row r="55" spans="1:15" ht="18.75" customHeight="1" x14ac:dyDescent="0.25">
      <c r="B55" s="537"/>
      <c r="C55" s="542"/>
      <c r="D55" s="27" t="s">
        <v>119</v>
      </c>
      <c r="E55" s="244">
        <v>1500000</v>
      </c>
      <c r="F55" s="286">
        <v>1500000</v>
      </c>
      <c r="G55" s="244">
        <v>1500000</v>
      </c>
      <c r="H55" s="286">
        <v>1500000</v>
      </c>
      <c r="I55" s="244">
        <v>1500000</v>
      </c>
      <c r="J55" s="286">
        <v>1500000</v>
      </c>
      <c r="K55" s="244">
        <v>1500000</v>
      </c>
      <c r="L55" s="286"/>
      <c r="M55" s="244"/>
      <c r="N55" s="286"/>
      <c r="O55" s="7"/>
    </row>
    <row r="56" spans="1:15" ht="18.75" customHeight="1" x14ac:dyDescent="0.25">
      <c r="B56" s="537"/>
      <c r="C56" s="542"/>
      <c r="D56" s="27" t="s">
        <v>120</v>
      </c>
      <c r="E56" s="244">
        <v>1500000</v>
      </c>
      <c r="F56" s="286">
        <v>1500000</v>
      </c>
      <c r="G56" s="244">
        <v>1500000</v>
      </c>
      <c r="H56" s="286">
        <v>1500000</v>
      </c>
      <c r="I56" s="244">
        <v>1500000</v>
      </c>
      <c r="J56" s="286">
        <v>1500000</v>
      </c>
      <c r="K56" s="244">
        <v>1500000</v>
      </c>
      <c r="L56" s="286"/>
      <c r="M56" s="244"/>
      <c r="N56" s="286"/>
      <c r="O56" s="7"/>
    </row>
    <row r="57" spans="1:15" ht="18.75" customHeight="1" x14ac:dyDescent="0.25">
      <c r="B57" s="537"/>
      <c r="C57" s="542"/>
      <c r="D57" s="27" t="s">
        <v>121</v>
      </c>
      <c r="E57" s="245">
        <f>E77+E76</f>
        <v>8481600</v>
      </c>
      <c r="F57" s="287">
        <f t="shared" ref="F57:N57" si="14">F77+F76</f>
        <v>9590600</v>
      </c>
      <c r="G57" s="245">
        <f t="shared" si="14"/>
        <v>8863000</v>
      </c>
      <c r="H57" s="287">
        <f t="shared" si="14"/>
        <v>20169500</v>
      </c>
      <c r="I57" s="245">
        <f t="shared" si="14"/>
        <v>5372700</v>
      </c>
      <c r="J57" s="287">
        <f t="shared" si="14"/>
        <v>25914000</v>
      </c>
      <c r="K57" s="245">
        <f t="shared" si="14"/>
        <v>12375100</v>
      </c>
      <c r="L57" s="287">
        <f t="shared" si="14"/>
        <v>0</v>
      </c>
      <c r="M57" s="245">
        <f t="shared" si="14"/>
        <v>0</v>
      </c>
      <c r="N57" s="287">
        <f t="shared" si="14"/>
        <v>0</v>
      </c>
      <c r="O57" s="7"/>
    </row>
    <row r="58" spans="1:15" ht="18.75" customHeight="1" x14ac:dyDescent="0.25">
      <c r="B58" s="537"/>
      <c r="C58" s="542"/>
      <c r="D58" s="27" t="s">
        <v>122</v>
      </c>
      <c r="E58" s="245">
        <f>E92+E105+E118</f>
        <v>0</v>
      </c>
      <c r="F58" s="245">
        <f t="shared" ref="F58:N58" si="15">F92+F105+F118</f>
        <v>0</v>
      </c>
      <c r="G58" s="245">
        <f t="shared" si="15"/>
        <v>0</v>
      </c>
      <c r="H58" s="245">
        <f t="shared" si="15"/>
        <v>0</v>
      </c>
      <c r="I58" s="245">
        <f t="shared" si="15"/>
        <v>0</v>
      </c>
      <c r="J58" s="245">
        <f t="shared" si="15"/>
        <v>0</v>
      </c>
      <c r="K58" s="245">
        <f t="shared" si="15"/>
        <v>0</v>
      </c>
      <c r="L58" s="245">
        <f t="shared" si="15"/>
        <v>0</v>
      </c>
      <c r="M58" s="245">
        <f t="shared" si="15"/>
        <v>0</v>
      </c>
      <c r="N58" s="245">
        <f t="shared" si="15"/>
        <v>0</v>
      </c>
      <c r="O58" s="7"/>
    </row>
    <row r="59" spans="1:15" ht="18.75" customHeight="1" x14ac:dyDescent="0.25">
      <c r="B59" s="537"/>
      <c r="C59" s="542"/>
      <c r="D59" s="27" t="s">
        <v>61</v>
      </c>
      <c r="E59" s="244">
        <v>200000</v>
      </c>
      <c r="F59" s="286">
        <v>200000</v>
      </c>
      <c r="G59" s="244">
        <v>980000</v>
      </c>
      <c r="H59" s="286">
        <v>80000</v>
      </c>
      <c r="I59" s="244">
        <v>300000</v>
      </c>
      <c r="J59" s="286">
        <v>100000</v>
      </c>
      <c r="K59" s="244">
        <v>80000</v>
      </c>
      <c r="L59" s="286"/>
      <c r="M59" s="244"/>
      <c r="N59" s="286"/>
      <c r="O59" s="7"/>
    </row>
    <row r="60" spans="1:15" ht="21.75" customHeight="1" x14ac:dyDescent="0.25">
      <c r="A60" s="7" t="s">
        <v>38</v>
      </c>
      <c r="B60" s="537"/>
      <c r="C60" s="542"/>
      <c r="D60" s="28" t="s">
        <v>39</v>
      </c>
      <c r="E60" s="246">
        <f t="shared" ref="E60:N60" si="16">E52+E59+E54+E57+E58</f>
        <v>8744600</v>
      </c>
      <c r="F60" s="288">
        <f t="shared" si="16"/>
        <v>9842600</v>
      </c>
      <c r="G60" s="246">
        <f t="shared" si="16"/>
        <v>9884000</v>
      </c>
      <c r="H60" s="288">
        <f t="shared" si="16"/>
        <v>20251372</v>
      </c>
      <c r="I60" s="246">
        <f t="shared" si="16"/>
        <v>5672700</v>
      </c>
      <c r="J60" s="288">
        <f t="shared" si="16"/>
        <v>26016400</v>
      </c>
      <c r="K60" s="246">
        <f t="shared" si="16"/>
        <v>12459100</v>
      </c>
      <c r="L60" s="288">
        <f t="shared" si="16"/>
        <v>0</v>
      </c>
      <c r="M60" s="246">
        <f t="shared" si="16"/>
        <v>0</v>
      </c>
      <c r="N60" s="288">
        <f t="shared" si="16"/>
        <v>0</v>
      </c>
      <c r="O60" s="7"/>
    </row>
    <row r="61" spans="1:15" ht="35.25" customHeight="1" x14ac:dyDescent="0.25">
      <c r="B61" s="537"/>
      <c r="C61" s="542"/>
      <c r="D61" s="27" t="s">
        <v>123</v>
      </c>
      <c r="E61" s="243">
        <v>200000</v>
      </c>
      <c r="F61" s="289">
        <v>200000</v>
      </c>
      <c r="G61" s="243">
        <v>980000</v>
      </c>
      <c r="H61" s="289">
        <v>100000</v>
      </c>
      <c r="I61" s="243">
        <v>300000</v>
      </c>
      <c r="J61" s="289">
        <v>200000</v>
      </c>
      <c r="K61" s="243">
        <v>100000</v>
      </c>
      <c r="L61" s="289"/>
      <c r="M61" s="243"/>
      <c r="N61" s="289"/>
      <c r="O61" s="7"/>
    </row>
    <row r="62" spans="1:15" ht="36" customHeight="1" x14ac:dyDescent="0.25">
      <c r="B62" s="537"/>
      <c r="C62" s="542"/>
      <c r="D62" s="80" t="s">
        <v>124</v>
      </c>
      <c r="E62" s="246">
        <f t="shared" ref="E62:N62" si="17">E51+E60-E61</f>
        <v>51744600</v>
      </c>
      <c r="F62" s="288">
        <f t="shared" si="17"/>
        <v>69642600</v>
      </c>
      <c r="G62" s="246">
        <f t="shared" si="17"/>
        <v>64904000</v>
      </c>
      <c r="H62" s="288">
        <f t="shared" si="17"/>
        <v>130151372</v>
      </c>
      <c r="I62" s="246">
        <f t="shared" si="17"/>
        <v>46172700</v>
      </c>
      <c r="J62" s="288">
        <f t="shared" si="17"/>
        <v>150816400</v>
      </c>
      <c r="K62" s="246">
        <f t="shared" si="17"/>
        <v>78609100</v>
      </c>
      <c r="L62" s="288">
        <f t="shared" si="17"/>
        <v>0</v>
      </c>
      <c r="M62" s="246">
        <f t="shared" si="17"/>
        <v>0</v>
      </c>
      <c r="N62" s="288">
        <f t="shared" si="17"/>
        <v>0</v>
      </c>
      <c r="O62" s="7"/>
    </row>
    <row r="63" spans="1:15" ht="21" customHeight="1" x14ac:dyDescent="0.25">
      <c r="B63" s="537"/>
      <c r="C63" s="542"/>
      <c r="D63" s="28" t="s">
        <v>125</v>
      </c>
      <c r="E63" s="243"/>
      <c r="F63" s="289"/>
      <c r="G63" s="243"/>
      <c r="H63" s="289"/>
      <c r="I63" s="243"/>
      <c r="J63" s="289"/>
      <c r="K63" s="243"/>
      <c r="L63" s="289"/>
      <c r="M63" s="243"/>
      <c r="N63" s="289"/>
      <c r="O63" s="7"/>
    </row>
    <row r="64" spans="1:15" ht="20.25" customHeight="1" x14ac:dyDescent="0.25">
      <c r="B64" s="537"/>
      <c r="C64" s="542"/>
      <c r="D64" s="27" t="s">
        <v>13</v>
      </c>
      <c r="E64" s="81" t="s">
        <v>491</v>
      </c>
      <c r="F64" s="290" t="s">
        <v>491</v>
      </c>
      <c r="G64" s="81" t="s">
        <v>493</v>
      </c>
      <c r="H64" s="290" t="s">
        <v>484</v>
      </c>
      <c r="I64" s="81" t="s">
        <v>493</v>
      </c>
      <c r="J64" s="290" t="s">
        <v>484</v>
      </c>
      <c r="K64" s="81" t="s">
        <v>484</v>
      </c>
      <c r="L64" s="290"/>
      <c r="M64" s="81"/>
      <c r="N64" s="290"/>
      <c r="O64" s="7"/>
    </row>
    <row r="65" spans="2:15" ht="18.75" customHeight="1" x14ac:dyDescent="0.25">
      <c r="B65" s="537"/>
      <c r="C65" s="542"/>
      <c r="D65" s="27" t="s">
        <v>12</v>
      </c>
      <c r="E65" s="81" t="s">
        <v>492</v>
      </c>
      <c r="F65" s="290" t="s">
        <v>492</v>
      </c>
      <c r="G65" s="81" t="s">
        <v>493</v>
      </c>
      <c r="H65" s="290" t="s">
        <v>494</v>
      </c>
      <c r="I65" s="81" t="s">
        <v>493</v>
      </c>
      <c r="J65" s="290" t="s">
        <v>494</v>
      </c>
      <c r="K65" s="81" t="s">
        <v>494</v>
      </c>
      <c r="L65" s="290"/>
      <c r="M65" s="81"/>
      <c r="N65" s="290"/>
      <c r="O65" s="7"/>
    </row>
    <row r="66" spans="2:15" ht="18" customHeight="1" x14ac:dyDescent="0.25">
      <c r="B66" s="537"/>
      <c r="C66" s="542"/>
      <c r="D66" s="27" t="s">
        <v>126</v>
      </c>
      <c r="E66" s="243">
        <v>100000</v>
      </c>
      <c r="F66" s="289">
        <v>44964000</v>
      </c>
      <c r="G66" s="243">
        <v>350000</v>
      </c>
      <c r="H66" s="289">
        <v>3000000</v>
      </c>
      <c r="I66" s="243">
        <v>990000</v>
      </c>
      <c r="J66" s="289">
        <v>24260000</v>
      </c>
      <c r="K66" s="243">
        <v>100000</v>
      </c>
      <c r="L66" s="289"/>
      <c r="M66" s="243"/>
      <c r="N66" s="289"/>
      <c r="O66" s="7"/>
    </row>
    <row r="67" spans="2:15" ht="18" customHeight="1" x14ac:dyDescent="0.25">
      <c r="B67" s="537"/>
      <c r="C67" s="542"/>
      <c r="D67" s="27" t="s">
        <v>234</v>
      </c>
      <c r="E67" s="243">
        <v>139200000</v>
      </c>
      <c r="F67" s="289">
        <v>125600000</v>
      </c>
      <c r="G67" s="243">
        <v>144280000</v>
      </c>
      <c r="H67" s="289">
        <v>283530000</v>
      </c>
      <c r="I67" s="243">
        <v>93700000</v>
      </c>
      <c r="J67" s="289">
        <v>307000000</v>
      </c>
      <c r="K67" s="243">
        <v>194000000</v>
      </c>
      <c r="L67" s="289"/>
      <c r="M67" s="243"/>
      <c r="N67" s="289"/>
      <c r="O67" s="7"/>
    </row>
    <row r="68" spans="2:15" ht="18" customHeight="1" x14ac:dyDescent="0.25">
      <c r="B68" s="537"/>
      <c r="C68" s="542"/>
      <c r="D68" s="27" t="s">
        <v>235</v>
      </c>
      <c r="E68" s="243">
        <v>22</v>
      </c>
      <c r="F68" s="289">
        <v>23</v>
      </c>
      <c r="G68" s="243">
        <v>32</v>
      </c>
      <c r="H68" s="289">
        <v>40</v>
      </c>
      <c r="I68" s="243">
        <v>28</v>
      </c>
      <c r="J68" s="289">
        <v>38</v>
      </c>
      <c r="K68" s="243">
        <v>35</v>
      </c>
      <c r="L68" s="289"/>
      <c r="M68" s="243"/>
      <c r="N68" s="289"/>
      <c r="O68" s="7"/>
    </row>
    <row r="69" spans="2:15" ht="18" customHeight="1" x14ac:dyDescent="0.25">
      <c r="B69" s="537"/>
      <c r="C69" s="542"/>
      <c r="D69" s="27" t="s">
        <v>127</v>
      </c>
      <c r="E69" s="243">
        <v>2000000</v>
      </c>
      <c r="F69" s="289">
        <v>1000000</v>
      </c>
      <c r="G69" s="243">
        <v>1000000</v>
      </c>
      <c r="H69" s="289">
        <v>1000000</v>
      </c>
      <c r="I69" s="243">
        <v>2000000</v>
      </c>
      <c r="J69" s="289">
        <v>5000000</v>
      </c>
      <c r="K69" s="243">
        <v>2000000</v>
      </c>
      <c r="L69" s="289"/>
      <c r="M69" s="243"/>
      <c r="N69" s="289"/>
      <c r="O69" s="7"/>
    </row>
    <row r="70" spans="2:15" ht="18" customHeight="1" x14ac:dyDescent="0.25">
      <c r="B70" s="537"/>
      <c r="C70" s="542"/>
      <c r="D70" s="27" t="s">
        <v>128</v>
      </c>
      <c r="E70" s="243">
        <v>10000000</v>
      </c>
      <c r="F70" s="289">
        <v>10000000</v>
      </c>
      <c r="G70" s="243">
        <v>10000000</v>
      </c>
      <c r="H70" s="289">
        <v>21000000</v>
      </c>
      <c r="I70" s="243">
        <v>6500000</v>
      </c>
      <c r="J70" s="289">
        <v>15000000</v>
      </c>
      <c r="K70" s="243">
        <v>15000000</v>
      </c>
      <c r="L70" s="289"/>
      <c r="M70" s="243"/>
      <c r="N70" s="289"/>
      <c r="O70" s="7"/>
    </row>
    <row r="71" spans="2:15" ht="18" customHeight="1" x14ac:dyDescent="0.25">
      <c r="B71" s="537"/>
      <c r="C71" s="542"/>
      <c r="D71" s="27" t="s">
        <v>129</v>
      </c>
      <c r="E71" s="82">
        <f t="shared" ref="E71:N71" si="18">E67/E68</f>
        <v>6327272.7272727275</v>
      </c>
      <c r="F71" s="291">
        <f t="shared" si="18"/>
        <v>5460869.5652173916</v>
      </c>
      <c r="G71" s="82">
        <f t="shared" si="18"/>
        <v>4508750</v>
      </c>
      <c r="H71" s="291">
        <f t="shared" si="18"/>
        <v>7088250</v>
      </c>
      <c r="I71" s="82">
        <f t="shared" si="18"/>
        <v>3346428.5714285714</v>
      </c>
      <c r="J71" s="291">
        <f t="shared" si="18"/>
        <v>8078947.3684210526</v>
      </c>
      <c r="K71" s="82">
        <f t="shared" si="18"/>
        <v>5542857.1428571427</v>
      </c>
      <c r="L71" s="291" t="e">
        <f t="shared" si="18"/>
        <v>#DIV/0!</v>
      </c>
      <c r="M71" s="82" t="e">
        <f t="shared" si="18"/>
        <v>#DIV/0!</v>
      </c>
      <c r="N71" s="291" t="e">
        <f t="shared" si="18"/>
        <v>#DIV/0!</v>
      </c>
      <c r="O71" s="7"/>
    </row>
    <row r="72" spans="2:15" ht="18" customHeight="1" x14ac:dyDescent="0.25">
      <c r="B72" s="537"/>
      <c r="C72" s="542"/>
      <c r="D72" s="27" t="s">
        <v>130</v>
      </c>
      <c r="E72" s="243"/>
      <c r="F72" s="289"/>
      <c r="G72" s="243"/>
      <c r="H72" s="289"/>
      <c r="I72" s="243"/>
      <c r="J72" s="289"/>
      <c r="K72" s="243"/>
      <c r="L72" s="289"/>
      <c r="M72" s="243"/>
      <c r="N72" s="289"/>
      <c r="O72" s="7"/>
    </row>
    <row r="73" spans="2:15" ht="18" customHeight="1" x14ac:dyDescent="0.25">
      <c r="B73" s="537"/>
      <c r="C73" s="542"/>
      <c r="D73" s="27" t="s">
        <v>131</v>
      </c>
      <c r="E73" s="243"/>
      <c r="F73" s="289"/>
      <c r="G73" s="243"/>
      <c r="H73" s="289"/>
      <c r="I73" s="243"/>
      <c r="J73" s="289"/>
      <c r="K73" s="243"/>
      <c r="L73" s="289"/>
      <c r="M73" s="243"/>
      <c r="N73" s="289"/>
      <c r="O73" s="7"/>
    </row>
    <row r="74" spans="2:15" ht="18" customHeight="1" x14ac:dyDescent="0.25">
      <c r="B74" s="537"/>
      <c r="C74" s="542"/>
      <c r="D74" s="27" t="s">
        <v>132</v>
      </c>
      <c r="E74" s="243">
        <v>100</v>
      </c>
      <c r="F74" s="289">
        <v>100</v>
      </c>
      <c r="G74" s="243">
        <v>100</v>
      </c>
      <c r="H74" s="289">
        <v>100</v>
      </c>
      <c r="I74" s="243">
        <v>100</v>
      </c>
      <c r="J74" s="289">
        <v>100</v>
      </c>
      <c r="K74" s="243">
        <v>100</v>
      </c>
      <c r="L74" s="289"/>
      <c r="M74" s="243"/>
      <c r="N74" s="289"/>
      <c r="O74" s="7"/>
    </row>
    <row r="75" spans="2:15" ht="18" customHeight="1" x14ac:dyDescent="0.25">
      <c r="B75" s="537"/>
      <c r="C75" s="542"/>
      <c r="D75" s="27" t="s">
        <v>133</v>
      </c>
      <c r="E75" s="243">
        <v>24</v>
      </c>
      <c r="F75" s="289">
        <v>24</v>
      </c>
      <c r="G75" s="243">
        <v>24</v>
      </c>
      <c r="H75" s="289">
        <v>24</v>
      </c>
      <c r="I75" s="243">
        <v>24</v>
      </c>
      <c r="J75" s="289">
        <v>24</v>
      </c>
      <c r="K75" s="243">
        <v>24</v>
      </c>
      <c r="L75" s="289"/>
      <c r="M75" s="243"/>
      <c r="N75" s="289"/>
      <c r="O75" s="7"/>
    </row>
    <row r="76" spans="2:15" ht="18" customHeight="1" x14ac:dyDescent="0.25">
      <c r="B76" s="537"/>
      <c r="C76" s="542"/>
      <c r="D76" s="27" t="s">
        <v>134</v>
      </c>
      <c r="E76" s="243">
        <v>8481600</v>
      </c>
      <c r="F76" s="289">
        <v>9590600</v>
      </c>
      <c r="G76" s="243">
        <v>8863000</v>
      </c>
      <c r="H76" s="289">
        <v>20169500</v>
      </c>
      <c r="I76" s="243">
        <v>5372700</v>
      </c>
      <c r="J76" s="289">
        <v>25914000</v>
      </c>
      <c r="K76" s="243">
        <v>12375100</v>
      </c>
      <c r="L76" s="289"/>
      <c r="M76" s="243"/>
      <c r="N76" s="289"/>
      <c r="O76" s="7"/>
    </row>
    <row r="77" spans="2:15" ht="18" customHeight="1" thickBot="1" x14ac:dyDescent="0.3">
      <c r="B77" s="539"/>
      <c r="C77" s="543"/>
      <c r="D77" s="238" t="s">
        <v>135</v>
      </c>
      <c r="E77" s="257"/>
      <c r="F77" s="292"/>
      <c r="G77" s="257"/>
      <c r="H77" s="292"/>
      <c r="I77" s="257"/>
      <c r="J77" s="292"/>
      <c r="K77" s="257"/>
      <c r="L77" s="292"/>
      <c r="M77" s="257"/>
      <c r="N77" s="292"/>
      <c r="O77" s="7"/>
    </row>
    <row r="78" spans="2:15" ht="18" customHeight="1" x14ac:dyDescent="0.25">
      <c r="B78" s="535" t="s">
        <v>8</v>
      </c>
      <c r="C78" s="541"/>
      <c r="D78" s="78" t="s">
        <v>69</v>
      </c>
      <c r="E78" s="18"/>
      <c r="F78" s="279"/>
      <c r="G78" s="18"/>
      <c r="H78" s="279"/>
      <c r="I78" s="18"/>
      <c r="J78" s="279"/>
      <c r="K78" s="18"/>
      <c r="L78" s="279"/>
      <c r="M78" s="18"/>
      <c r="N78" s="279"/>
      <c r="O78" s="63"/>
    </row>
    <row r="79" spans="2:15" ht="18" customHeight="1" thickBot="1" x14ac:dyDescent="0.3">
      <c r="B79" s="537"/>
      <c r="C79" s="542"/>
      <c r="D79" s="24" t="s">
        <v>68</v>
      </c>
      <c r="E79" s="25"/>
      <c r="F79" s="26"/>
      <c r="G79" s="25"/>
      <c r="H79" s="26"/>
      <c r="I79" s="25"/>
      <c r="J79" s="26"/>
      <c r="K79" s="25"/>
      <c r="L79" s="26"/>
      <c r="M79" s="25"/>
      <c r="N79" s="26"/>
      <c r="O79" s="63"/>
    </row>
    <row r="80" spans="2:15" ht="18" customHeight="1" x14ac:dyDescent="0.25">
      <c r="B80" s="535" t="s">
        <v>24</v>
      </c>
      <c r="C80" s="541"/>
      <c r="D80" s="272" t="s">
        <v>58</v>
      </c>
      <c r="E80" s="273" t="s">
        <v>509</v>
      </c>
      <c r="F80" s="293" t="s">
        <v>509</v>
      </c>
      <c r="G80" s="273" t="s">
        <v>507</v>
      </c>
      <c r="H80" s="293" t="s">
        <v>500</v>
      </c>
      <c r="I80" s="273" t="s">
        <v>500</v>
      </c>
      <c r="J80" s="293" t="s">
        <v>500</v>
      </c>
      <c r="K80" s="273" t="s">
        <v>500</v>
      </c>
      <c r="L80" s="293"/>
      <c r="M80" s="273"/>
      <c r="N80" s="293"/>
      <c r="O80" s="7"/>
    </row>
    <row r="81" spans="2:15" ht="18" customHeight="1" x14ac:dyDescent="0.25">
      <c r="B81" s="537"/>
      <c r="C81" s="542"/>
      <c r="D81" s="274" t="s">
        <v>136</v>
      </c>
      <c r="E81" s="275">
        <f>COUNT(E86,E99,E112,E126)</f>
        <v>1</v>
      </c>
      <c r="F81" s="294">
        <f t="shared" ref="F81:N81" si="19">COUNT(F86,F99,F112,F126)</f>
        <v>1</v>
      </c>
      <c r="G81" s="275">
        <f t="shared" si="19"/>
        <v>1</v>
      </c>
      <c r="H81" s="294">
        <f t="shared" si="19"/>
        <v>1</v>
      </c>
      <c r="I81" s="275">
        <f t="shared" si="19"/>
        <v>1</v>
      </c>
      <c r="J81" s="294">
        <f t="shared" si="19"/>
        <v>1</v>
      </c>
      <c r="K81" s="275">
        <f t="shared" si="19"/>
        <v>1</v>
      </c>
      <c r="L81" s="294">
        <f t="shared" si="19"/>
        <v>0</v>
      </c>
      <c r="M81" s="275">
        <f t="shared" si="19"/>
        <v>0</v>
      </c>
      <c r="N81" s="294">
        <f t="shared" si="19"/>
        <v>0</v>
      </c>
      <c r="O81" s="7"/>
    </row>
    <row r="82" spans="2:15" ht="18" customHeight="1" thickBot="1" x14ac:dyDescent="0.3">
      <c r="B82" s="537"/>
      <c r="C82" s="542"/>
      <c r="D82" s="276" t="s">
        <v>137</v>
      </c>
      <c r="E82" s="277">
        <f>E86+E99+E112+E126</f>
        <v>185000000</v>
      </c>
      <c r="F82" s="295">
        <f t="shared" ref="F82:N82" si="20">F86+F99+F112+F126</f>
        <v>170000000</v>
      </c>
      <c r="G82" s="277">
        <f t="shared" si="20"/>
        <v>305000000</v>
      </c>
      <c r="H82" s="277">
        <f>H86+H99+H112+H126</f>
        <v>185000000</v>
      </c>
      <c r="I82" s="277">
        <f t="shared" si="20"/>
        <v>165000000</v>
      </c>
      <c r="J82" s="295">
        <f t="shared" si="20"/>
        <v>305000000</v>
      </c>
      <c r="K82" s="277">
        <f t="shared" si="20"/>
        <v>285000000</v>
      </c>
      <c r="L82" s="295">
        <f t="shared" si="20"/>
        <v>0</v>
      </c>
      <c r="M82" s="277">
        <f t="shared" si="20"/>
        <v>0</v>
      </c>
      <c r="N82" s="295">
        <f t="shared" si="20"/>
        <v>0</v>
      </c>
      <c r="O82" s="7"/>
    </row>
    <row r="83" spans="2:15" ht="18" customHeight="1" x14ac:dyDescent="0.25">
      <c r="B83" s="537"/>
      <c r="C83" s="542"/>
      <c r="D83" s="78" t="s">
        <v>282</v>
      </c>
      <c r="E83" s="248" t="s">
        <v>496</v>
      </c>
      <c r="F83" s="248" t="s">
        <v>495</v>
      </c>
      <c r="G83" s="248" t="s">
        <v>497</v>
      </c>
      <c r="H83" s="248" t="s">
        <v>485</v>
      </c>
      <c r="I83" s="248" t="s">
        <v>498</v>
      </c>
      <c r="J83" s="248" t="s">
        <v>495</v>
      </c>
      <c r="K83" s="248" t="s">
        <v>495</v>
      </c>
      <c r="L83" s="248"/>
      <c r="M83" s="248"/>
      <c r="N83" s="248"/>
      <c r="O83" s="7"/>
    </row>
    <row r="84" spans="2:15" ht="18" customHeight="1" x14ac:dyDescent="0.25">
      <c r="B84" s="537"/>
      <c r="C84" s="542"/>
      <c r="D84" s="19" t="s">
        <v>283</v>
      </c>
      <c r="E84" s="248">
        <v>76</v>
      </c>
      <c r="F84" s="248">
        <v>81</v>
      </c>
      <c r="G84" s="248">
        <v>79</v>
      </c>
      <c r="H84" s="248">
        <v>82</v>
      </c>
      <c r="I84" s="248">
        <v>67</v>
      </c>
      <c r="J84" s="248">
        <v>69</v>
      </c>
      <c r="K84" s="248">
        <v>81</v>
      </c>
      <c r="L84" s="248"/>
      <c r="M84" s="248"/>
      <c r="N84" s="248"/>
      <c r="O84" s="7"/>
    </row>
    <row r="85" spans="2:15" ht="18" customHeight="1" x14ac:dyDescent="0.25">
      <c r="B85" s="537"/>
      <c r="C85" s="542"/>
      <c r="D85" s="19" t="s">
        <v>138</v>
      </c>
      <c r="E85" s="248"/>
      <c r="F85" s="296"/>
      <c r="G85" s="248"/>
      <c r="H85" s="296"/>
      <c r="I85" s="248"/>
      <c r="J85" s="296"/>
      <c r="K85" s="248"/>
      <c r="L85" s="296"/>
      <c r="M85" s="248"/>
      <c r="N85" s="296"/>
      <c r="O85" s="7"/>
    </row>
    <row r="86" spans="2:15" ht="18" customHeight="1" x14ac:dyDescent="0.25">
      <c r="B86" s="537"/>
      <c r="C86" s="542"/>
      <c r="D86" s="19" t="s">
        <v>35</v>
      </c>
      <c r="E86" s="248">
        <v>185000000</v>
      </c>
      <c r="F86" s="296">
        <v>170000000</v>
      </c>
      <c r="G86" s="248">
        <v>305000000</v>
      </c>
      <c r="H86" s="296">
        <v>185000000</v>
      </c>
      <c r="I86" s="248">
        <v>165000000</v>
      </c>
      <c r="J86" s="296">
        <v>305000000</v>
      </c>
      <c r="K86" s="248">
        <v>285000000</v>
      </c>
      <c r="L86" s="296"/>
      <c r="M86" s="248"/>
      <c r="N86" s="296"/>
      <c r="O86" s="7"/>
    </row>
    <row r="87" spans="2:15" ht="18" customHeight="1" x14ac:dyDescent="0.25">
      <c r="B87" s="537"/>
      <c r="C87" s="542"/>
      <c r="D87" s="19" t="s">
        <v>139</v>
      </c>
      <c r="E87" s="248"/>
      <c r="F87" s="296"/>
      <c r="G87" s="248"/>
      <c r="H87" s="296"/>
      <c r="I87" s="248"/>
      <c r="J87" s="296"/>
      <c r="K87" s="248"/>
      <c r="L87" s="296"/>
      <c r="M87" s="248"/>
      <c r="N87" s="296"/>
      <c r="O87" s="7"/>
    </row>
    <row r="88" spans="2:15" ht="18" customHeight="1" x14ac:dyDescent="0.25">
      <c r="B88" s="537"/>
      <c r="C88" s="542"/>
      <c r="D88" s="19" t="s">
        <v>140</v>
      </c>
      <c r="E88" s="248"/>
      <c r="F88" s="296"/>
      <c r="G88" s="248"/>
      <c r="H88" s="296"/>
      <c r="I88" s="248"/>
      <c r="J88" s="296"/>
      <c r="K88" s="248"/>
      <c r="L88" s="296"/>
      <c r="M88" s="248"/>
      <c r="N88" s="296"/>
      <c r="O88" s="7"/>
    </row>
    <row r="89" spans="2:15" ht="18" customHeight="1" x14ac:dyDescent="0.25">
      <c r="B89" s="537"/>
      <c r="C89" s="542"/>
      <c r="D89" s="19" t="s">
        <v>141</v>
      </c>
      <c r="E89" s="248"/>
      <c r="F89" s="296"/>
      <c r="G89" s="248"/>
      <c r="H89" s="296"/>
      <c r="I89" s="248"/>
      <c r="J89" s="296"/>
      <c r="K89" s="248"/>
      <c r="L89" s="296"/>
      <c r="M89" s="248"/>
      <c r="N89" s="296"/>
      <c r="O89" s="7"/>
    </row>
    <row r="90" spans="2:15" ht="18" customHeight="1" x14ac:dyDescent="0.25">
      <c r="B90" s="537"/>
      <c r="C90" s="542"/>
      <c r="D90" s="19" t="s">
        <v>142</v>
      </c>
      <c r="E90" s="248"/>
      <c r="F90" s="296"/>
      <c r="G90" s="248"/>
      <c r="H90" s="296"/>
      <c r="I90" s="248"/>
      <c r="J90" s="296"/>
      <c r="K90" s="248"/>
      <c r="L90" s="296"/>
      <c r="M90" s="248"/>
      <c r="N90" s="296"/>
      <c r="O90" s="7"/>
    </row>
    <row r="91" spans="2:15" ht="18" customHeight="1" x14ac:dyDescent="0.25">
      <c r="B91" s="537"/>
      <c r="C91" s="542"/>
      <c r="D91" s="19" t="s">
        <v>41</v>
      </c>
      <c r="E91" s="248">
        <v>15</v>
      </c>
      <c r="F91" s="296">
        <v>15</v>
      </c>
      <c r="G91" s="248">
        <v>25</v>
      </c>
      <c r="H91" s="296">
        <v>15</v>
      </c>
      <c r="I91" s="248">
        <v>16</v>
      </c>
      <c r="J91" s="296">
        <v>25</v>
      </c>
      <c r="K91" s="248">
        <v>25</v>
      </c>
      <c r="L91" s="296"/>
      <c r="M91" s="248"/>
      <c r="N91" s="296"/>
      <c r="O91" s="7"/>
    </row>
    <row r="92" spans="2:15" ht="18" customHeight="1" x14ac:dyDescent="0.25">
      <c r="B92" s="537"/>
      <c r="C92" s="542"/>
      <c r="D92" s="19" t="s">
        <v>143</v>
      </c>
      <c r="E92" s="248"/>
      <c r="F92" s="296"/>
      <c r="G92" s="248"/>
      <c r="H92" s="296"/>
      <c r="I92" s="248"/>
      <c r="J92" s="296"/>
      <c r="K92" s="248"/>
      <c r="L92" s="296"/>
      <c r="M92" s="248"/>
      <c r="N92" s="296"/>
      <c r="O92" s="7"/>
    </row>
    <row r="93" spans="2:15" ht="18" customHeight="1" x14ac:dyDescent="0.25">
      <c r="B93" s="537"/>
      <c r="C93" s="542"/>
      <c r="D93" s="19" t="s">
        <v>144</v>
      </c>
      <c r="E93" s="248"/>
      <c r="F93" s="296"/>
      <c r="G93" s="248"/>
      <c r="H93" s="296"/>
      <c r="I93" s="248"/>
      <c r="J93" s="296"/>
      <c r="K93" s="248"/>
      <c r="L93" s="296"/>
      <c r="M93" s="248"/>
      <c r="N93" s="296"/>
      <c r="O93" s="7"/>
    </row>
    <row r="94" spans="2:15" ht="18" customHeight="1" x14ac:dyDescent="0.25">
      <c r="B94" s="537"/>
      <c r="C94" s="542"/>
      <c r="D94" s="19" t="s">
        <v>145</v>
      </c>
      <c r="E94" s="258"/>
      <c r="F94" s="297"/>
      <c r="G94" s="258"/>
      <c r="H94" s="297"/>
      <c r="I94" s="258"/>
      <c r="J94" s="297"/>
      <c r="K94" s="258"/>
      <c r="L94" s="297"/>
      <c r="M94" s="258"/>
      <c r="N94" s="297"/>
      <c r="O94" s="7"/>
    </row>
    <row r="95" spans="2:15" ht="18" customHeight="1" thickBot="1" x14ac:dyDescent="0.3">
      <c r="B95" s="537"/>
      <c r="C95" s="542"/>
      <c r="D95" s="24" t="s">
        <v>146</v>
      </c>
      <c r="E95" s="259">
        <f>E86/E91</f>
        <v>12333333.333333334</v>
      </c>
      <c r="F95" s="298">
        <f t="shared" ref="F95:N95" si="21">F86/F91</f>
        <v>11333333.333333334</v>
      </c>
      <c r="G95" s="259">
        <f t="shared" si="21"/>
        <v>12200000</v>
      </c>
      <c r="H95" s="298">
        <f t="shared" si="21"/>
        <v>12333333.333333334</v>
      </c>
      <c r="I95" s="259">
        <f t="shared" si="21"/>
        <v>10312500</v>
      </c>
      <c r="J95" s="298">
        <f t="shared" si="21"/>
        <v>12200000</v>
      </c>
      <c r="K95" s="259">
        <f t="shared" si="21"/>
        <v>11400000</v>
      </c>
      <c r="L95" s="298" t="e">
        <f t="shared" si="21"/>
        <v>#DIV/0!</v>
      </c>
      <c r="M95" s="259" t="e">
        <f t="shared" si="21"/>
        <v>#DIV/0!</v>
      </c>
      <c r="N95" s="298" t="e">
        <f t="shared" si="21"/>
        <v>#DIV/0!</v>
      </c>
      <c r="O95" s="7"/>
    </row>
    <row r="96" spans="2:15" ht="18" customHeight="1" x14ac:dyDescent="0.25">
      <c r="B96" s="537"/>
      <c r="C96" s="542"/>
      <c r="D96" s="260" t="s">
        <v>284</v>
      </c>
      <c r="E96" s="262"/>
      <c r="F96" s="262"/>
      <c r="G96" s="262"/>
      <c r="H96" s="262"/>
      <c r="I96" s="262"/>
      <c r="J96" s="262"/>
      <c r="K96" s="262"/>
      <c r="L96" s="262"/>
      <c r="M96" s="262"/>
      <c r="N96" s="262"/>
      <c r="O96" s="7"/>
    </row>
    <row r="97" spans="2:15" ht="18" customHeight="1" x14ac:dyDescent="0.25">
      <c r="B97" s="537"/>
      <c r="C97" s="542"/>
      <c r="D97" s="261" t="s">
        <v>285</v>
      </c>
      <c r="E97" s="262"/>
      <c r="F97" s="262"/>
      <c r="G97" s="262"/>
      <c r="H97" s="262"/>
      <c r="I97" s="262"/>
      <c r="J97" s="262"/>
      <c r="K97" s="262"/>
      <c r="L97" s="262"/>
      <c r="M97" s="262"/>
      <c r="N97" s="262"/>
      <c r="O97" s="7"/>
    </row>
    <row r="98" spans="2:15" ht="18" customHeight="1" x14ac:dyDescent="0.25">
      <c r="B98" s="537"/>
      <c r="C98" s="542"/>
      <c r="D98" s="261" t="s">
        <v>147</v>
      </c>
      <c r="E98" s="262"/>
      <c r="F98" s="299"/>
      <c r="G98" s="262"/>
      <c r="H98" s="299"/>
      <c r="I98" s="262"/>
      <c r="J98" s="299"/>
      <c r="K98" s="262"/>
      <c r="L98" s="299"/>
      <c r="M98" s="262"/>
      <c r="N98" s="299"/>
      <c r="O98" s="7"/>
    </row>
    <row r="99" spans="2:15" ht="18" customHeight="1" x14ac:dyDescent="0.25">
      <c r="B99" s="537"/>
      <c r="C99" s="542"/>
      <c r="D99" s="261" t="s">
        <v>36</v>
      </c>
      <c r="E99" s="262"/>
      <c r="F99" s="299"/>
      <c r="G99" s="262"/>
      <c r="H99" s="299"/>
      <c r="I99" s="262"/>
      <c r="J99" s="299"/>
      <c r="K99" s="262"/>
      <c r="L99" s="299"/>
      <c r="M99" s="262"/>
      <c r="N99" s="299"/>
      <c r="O99" s="7"/>
    </row>
    <row r="100" spans="2:15" ht="18" customHeight="1" x14ac:dyDescent="0.25">
      <c r="B100" s="537"/>
      <c r="C100" s="542"/>
      <c r="D100" s="261" t="s">
        <v>148</v>
      </c>
      <c r="E100" s="262"/>
      <c r="F100" s="299"/>
      <c r="G100" s="262"/>
      <c r="H100" s="299"/>
      <c r="I100" s="262"/>
      <c r="J100" s="299"/>
      <c r="K100" s="262"/>
      <c r="L100" s="299"/>
      <c r="M100" s="262"/>
      <c r="N100" s="299"/>
      <c r="O100" s="7"/>
    </row>
    <row r="101" spans="2:15" ht="18" customHeight="1" x14ac:dyDescent="0.25">
      <c r="B101" s="537"/>
      <c r="C101" s="542"/>
      <c r="D101" s="261" t="s">
        <v>149</v>
      </c>
      <c r="E101" s="262"/>
      <c r="F101" s="299"/>
      <c r="G101" s="262"/>
      <c r="H101" s="299"/>
      <c r="I101" s="262"/>
      <c r="J101" s="299"/>
      <c r="K101" s="262"/>
      <c r="L101" s="299"/>
      <c r="M101" s="262"/>
      <c r="N101" s="299"/>
      <c r="O101" s="7"/>
    </row>
    <row r="102" spans="2:15" ht="18" customHeight="1" x14ac:dyDescent="0.25">
      <c r="B102" s="537"/>
      <c r="C102" s="542"/>
      <c r="D102" s="261" t="s">
        <v>150</v>
      </c>
      <c r="E102" s="262"/>
      <c r="F102" s="299"/>
      <c r="G102" s="262"/>
      <c r="H102" s="299"/>
      <c r="I102" s="262"/>
      <c r="J102" s="299"/>
      <c r="K102" s="262"/>
      <c r="L102" s="299"/>
      <c r="M102" s="262"/>
      <c r="N102" s="299"/>
      <c r="O102" s="7"/>
    </row>
    <row r="103" spans="2:15" ht="18" customHeight="1" x14ac:dyDescent="0.25">
      <c r="B103" s="537"/>
      <c r="C103" s="542"/>
      <c r="D103" s="261" t="s">
        <v>142</v>
      </c>
      <c r="E103" s="262"/>
      <c r="F103" s="299"/>
      <c r="G103" s="262"/>
      <c r="H103" s="299"/>
      <c r="I103" s="262"/>
      <c r="J103" s="299"/>
      <c r="K103" s="262"/>
      <c r="L103" s="299"/>
      <c r="M103" s="262"/>
      <c r="N103" s="299"/>
      <c r="O103" s="7"/>
    </row>
    <row r="104" spans="2:15" ht="18" customHeight="1" x14ac:dyDescent="0.25">
      <c r="B104" s="537"/>
      <c r="C104" s="542"/>
      <c r="D104" s="261" t="s">
        <v>42</v>
      </c>
      <c r="E104" s="262"/>
      <c r="F104" s="299"/>
      <c r="G104" s="262"/>
      <c r="H104" s="299"/>
      <c r="I104" s="262"/>
      <c r="J104" s="299"/>
      <c r="K104" s="262"/>
      <c r="L104" s="299"/>
      <c r="M104" s="262"/>
      <c r="N104" s="299"/>
      <c r="O104" s="7"/>
    </row>
    <row r="105" spans="2:15" ht="18" customHeight="1" x14ac:dyDescent="0.25">
      <c r="B105" s="537"/>
      <c r="C105" s="542"/>
      <c r="D105" s="261" t="s">
        <v>151</v>
      </c>
      <c r="E105" s="262"/>
      <c r="F105" s="299"/>
      <c r="G105" s="262"/>
      <c r="H105" s="299"/>
      <c r="I105" s="262"/>
      <c r="J105" s="299"/>
      <c r="K105" s="262"/>
      <c r="L105" s="299"/>
      <c r="M105" s="262"/>
      <c r="N105" s="299"/>
      <c r="O105" s="7"/>
    </row>
    <row r="106" spans="2:15" ht="18" customHeight="1" x14ac:dyDescent="0.25">
      <c r="B106" s="537"/>
      <c r="C106" s="542"/>
      <c r="D106" s="261" t="s">
        <v>152</v>
      </c>
      <c r="E106" s="262"/>
      <c r="F106" s="299"/>
      <c r="G106" s="262"/>
      <c r="H106" s="299"/>
      <c r="I106" s="262"/>
      <c r="J106" s="299"/>
      <c r="K106" s="262"/>
      <c r="L106" s="299"/>
      <c r="M106" s="262"/>
      <c r="N106" s="299"/>
      <c r="O106" s="7"/>
    </row>
    <row r="107" spans="2:15" ht="18" customHeight="1" x14ac:dyDescent="0.25">
      <c r="B107" s="537"/>
      <c r="C107" s="542"/>
      <c r="D107" s="261" t="s">
        <v>153</v>
      </c>
      <c r="E107" s="263"/>
      <c r="F107" s="300"/>
      <c r="G107" s="263"/>
      <c r="H107" s="300"/>
      <c r="I107" s="263"/>
      <c r="J107" s="300"/>
      <c r="K107" s="263"/>
      <c r="L107" s="300"/>
      <c r="M107" s="263"/>
      <c r="N107" s="300"/>
      <c r="O107" s="7"/>
    </row>
    <row r="108" spans="2:15" ht="18" customHeight="1" thickBot="1" x14ac:dyDescent="0.3">
      <c r="B108" s="537"/>
      <c r="C108" s="542"/>
      <c r="D108" s="264" t="s">
        <v>154</v>
      </c>
      <c r="E108" s="265" t="e">
        <f>E99/E104</f>
        <v>#DIV/0!</v>
      </c>
      <c r="F108" s="301" t="e">
        <f t="shared" ref="F108:N108" si="22">F99/F104</f>
        <v>#DIV/0!</v>
      </c>
      <c r="G108" s="265" t="e">
        <f t="shared" si="22"/>
        <v>#DIV/0!</v>
      </c>
      <c r="H108" s="301" t="e">
        <f t="shared" si="22"/>
        <v>#DIV/0!</v>
      </c>
      <c r="I108" s="265" t="e">
        <f t="shared" si="22"/>
        <v>#DIV/0!</v>
      </c>
      <c r="J108" s="301" t="e">
        <f t="shared" si="22"/>
        <v>#DIV/0!</v>
      </c>
      <c r="K108" s="265" t="e">
        <f t="shared" si="22"/>
        <v>#DIV/0!</v>
      </c>
      <c r="L108" s="301" t="e">
        <f t="shared" si="22"/>
        <v>#DIV/0!</v>
      </c>
      <c r="M108" s="265" t="e">
        <f t="shared" si="22"/>
        <v>#DIV/0!</v>
      </c>
      <c r="N108" s="301" t="e">
        <f t="shared" si="22"/>
        <v>#DIV/0!</v>
      </c>
      <c r="O108" s="7"/>
    </row>
    <row r="109" spans="2:15" ht="18" customHeight="1" x14ac:dyDescent="0.25">
      <c r="B109" s="537"/>
      <c r="C109" s="542"/>
      <c r="D109" s="266" t="s">
        <v>286</v>
      </c>
      <c r="E109" s="268"/>
      <c r="F109" s="268"/>
      <c r="G109" s="268"/>
      <c r="H109" s="268"/>
      <c r="I109" s="268"/>
      <c r="J109" s="268"/>
      <c r="K109" s="268"/>
      <c r="L109" s="268"/>
      <c r="M109" s="268"/>
      <c r="N109" s="268"/>
      <c r="O109" s="7"/>
    </row>
    <row r="110" spans="2:15" ht="18" customHeight="1" x14ac:dyDescent="0.25">
      <c r="B110" s="537"/>
      <c r="C110" s="542"/>
      <c r="D110" s="267" t="s">
        <v>287</v>
      </c>
      <c r="E110" s="268"/>
      <c r="F110" s="268"/>
      <c r="G110" s="268"/>
      <c r="H110" s="268"/>
      <c r="I110" s="268"/>
      <c r="J110" s="268"/>
      <c r="K110" s="268"/>
      <c r="L110" s="268"/>
      <c r="M110" s="268"/>
      <c r="N110" s="268"/>
      <c r="O110" s="7"/>
    </row>
    <row r="111" spans="2:15" ht="18" customHeight="1" x14ac:dyDescent="0.25">
      <c r="B111" s="537"/>
      <c r="C111" s="542"/>
      <c r="D111" s="267" t="s">
        <v>155</v>
      </c>
      <c r="E111" s="268"/>
      <c r="F111" s="302"/>
      <c r="G111" s="268"/>
      <c r="H111" s="302"/>
      <c r="I111" s="268"/>
      <c r="J111" s="302"/>
      <c r="K111" s="268"/>
      <c r="L111" s="302"/>
      <c r="M111" s="268"/>
      <c r="N111" s="302"/>
      <c r="O111" s="7"/>
    </row>
    <row r="112" spans="2:15" ht="18" customHeight="1" x14ac:dyDescent="0.25">
      <c r="B112" s="537"/>
      <c r="C112" s="542"/>
      <c r="D112" s="267" t="s">
        <v>37</v>
      </c>
      <c r="E112" s="268"/>
      <c r="F112" s="302"/>
      <c r="G112" s="268"/>
      <c r="H112" s="302"/>
      <c r="I112" s="268"/>
      <c r="J112" s="302"/>
      <c r="K112" s="268"/>
      <c r="L112" s="302"/>
      <c r="M112" s="268"/>
      <c r="N112" s="302"/>
      <c r="O112" s="7"/>
    </row>
    <row r="113" spans="2:15" ht="18" customHeight="1" x14ac:dyDescent="0.25">
      <c r="B113" s="537"/>
      <c r="C113" s="542"/>
      <c r="D113" s="267" t="s">
        <v>156</v>
      </c>
      <c r="E113" s="268"/>
      <c r="F113" s="302"/>
      <c r="G113" s="268"/>
      <c r="H113" s="302"/>
      <c r="I113" s="268"/>
      <c r="J113" s="302"/>
      <c r="K113" s="268"/>
      <c r="L113" s="302"/>
      <c r="M113" s="268"/>
      <c r="N113" s="302"/>
      <c r="O113" s="7"/>
    </row>
    <row r="114" spans="2:15" ht="18" customHeight="1" x14ac:dyDescent="0.25">
      <c r="B114" s="537"/>
      <c r="C114" s="542"/>
      <c r="D114" s="267" t="s">
        <v>157</v>
      </c>
      <c r="E114" s="268"/>
      <c r="F114" s="302"/>
      <c r="G114" s="268"/>
      <c r="H114" s="302"/>
      <c r="I114" s="268"/>
      <c r="J114" s="302"/>
      <c r="K114" s="268"/>
      <c r="L114" s="302"/>
      <c r="M114" s="268"/>
      <c r="N114" s="302"/>
      <c r="O114" s="7"/>
    </row>
    <row r="115" spans="2:15" ht="18" customHeight="1" x14ac:dyDescent="0.25">
      <c r="B115" s="537"/>
      <c r="C115" s="542"/>
      <c r="D115" s="267" t="s">
        <v>158</v>
      </c>
      <c r="E115" s="268"/>
      <c r="F115" s="302"/>
      <c r="G115" s="268"/>
      <c r="H115" s="302"/>
      <c r="I115" s="268"/>
      <c r="J115" s="302"/>
      <c r="K115" s="268"/>
      <c r="L115" s="302"/>
      <c r="M115" s="268"/>
      <c r="N115" s="302"/>
      <c r="O115" s="7"/>
    </row>
    <row r="116" spans="2:15" ht="18" customHeight="1" x14ac:dyDescent="0.25">
      <c r="B116" s="537"/>
      <c r="C116" s="542"/>
      <c r="D116" s="267" t="s">
        <v>142</v>
      </c>
      <c r="E116" s="268"/>
      <c r="F116" s="302"/>
      <c r="G116" s="268"/>
      <c r="H116" s="302"/>
      <c r="I116" s="268"/>
      <c r="J116" s="302"/>
      <c r="K116" s="268"/>
      <c r="L116" s="302"/>
      <c r="M116" s="268"/>
      <c r="N116" s="302"/>
      <c r="O116" s="7"/>
    </row>
    <row r="117" spans="2:15" ht="18" customHeight="1" x14ac:dyDescent="0.25">
      <c r="B117" s="537"/>
      <c r="C117" s="542"/>
      <c r="D117" s="267" t="s">
        <v>43</v>
      </c>
      <c r="E117" s="268"/>
      <c r="F117" s="302"/>
      <c r="G117" s="268"/>
      <c r="H117" s="302"/>
      <c r="I117" s="268"/>
      <c r="J117" s="302"/>
      <c r="K117" s="268"/>
      <c r="L117" s="302"/>
      <c r="M117" s="268"/>
      <c r="N117" s="302"/>
      <c r="O117" s="7"/>
    </row>
    <row r="118" spans="2:15" ht="18" customHeight="1" x14ac:dyDescent="0.25">
      <c r="B118" s="537"/>
      <c r="C118" s="542"/>
      <c r="D118" s="267" t="s">
        <v>159</v>
      </c>
      <c r="E118" s="268"/>
      <c r="F118" s="302"/>
      <c r="G118" s="268"/>
      <c r="H118" s="302"/>
      <c r="I118" s="268"/>
      <c r="J118" s="302"/>
      <c r="K118" s="268"/>
      <c r="L118" s="302"/>
      <c r="M118" s="268"/>
      <c r="N118" s="302"/>
      <c r="O118" s="7"/>
    </row>
    <row r="119" spans="2:15" ht="18" customHeight="1" x14ac:dyDescent="0.25">
      <c r="B119" s="537"/>
      <c r="C119" s="542"/>
      <c r="D119" s="267" t="s">
        <v>160</v>
      </c>
      <c r="E119" s="268"/>
      <c r="F119" s="302"/>
      <c r="G119" s="268"/>
      <c r="H119" s="302"/>
      <c r="I119" s="268"/>
      <c r="J119" s="302"/>
      <c r="K119" s="268"/>
      <c r="L119" s="302"/>
      <c r="M119" s="268"/>
      <c r="N119" s="302"/>
      <c r="O119" s="7"/>
    </row>
    <row r="120" spans="2:15" ht="18" customHeight="1" x14ac:dyDescent="0.25">
      <c r="B120" s="537"/>
      <c r="C120" s="542"/>
      <c r="D120" s="267" t="s">
        <v>161</v>
      </c>
      <c r="E120" s="269"/>
      <c r="F120" s="303"/>
      <c r="G120" s="269"/>
      <c r="H120" s="303"/>
      <c r="I120" s="269"/>
      <c r="J120" s="303"/>
      <c r="K120" s="269"/>
      <c r="L120" s="303"/>
      <c r="M120" s="269"/>
      <c r="N120" s="303"/>
      <c r="O120" s="7"/>
    </row>
    <row r="121" spans="2:15" ht="18" customHeight="1" thickBot="1" x14ac:dyDescent="0.3">
      <c r="B121" s="537"/>
      <c r="C121" s="542"/>
      <c r="D121" s="270" t="s">
        <v>162</v>
      </c>
      <c r="E121" s="271" t="e">
        <f>E112/E117</f>
        <v>#DIV/0!</v>
      </c>
      <c r="F121" s="304" t="e">
        <f t="shared" ref="F121:N121" si="23">F112/F117</f>
        <v>#DIV/0!</v>
      </c>
      <c r="G121" s="271" t="e">
        <f t="shared" si="23"/>
        <v>#DIV/0!</v>
      </c>
      <c r="H121" s="304" t="e">
        <f t="shared" si="23"/>
        <v>#DIV/0!</v>
      </c>
      <c r="I121" s="271" t="e">
        <f t="shared" si="23"/>
        <v>#DIV/0!</v>
      </c>
      <c r="J121" s="304" t="e">
        <f t="shared" si="23"/>
        <v>#DIV/0!</v>
      </c>
      <c r="K121" s="271" t="e">
        <f t="shared" si="23"/>
        <v>#DIV/0!</v>
      </c>
      <c r="L121" s="304" t="e">
        <f t="shared" si="23"/>
        <v>#DIV/0!</v>
      </c>
      <c r="M121" s="271" t="e">
        <f t="shared" si="23"/>
        <v>#DIV/0!</v>
      </c>
      <c r="N121" s="304" t="e">
        <f t="shared" si="23"/>
        <v>#DIV/0!</v>
      </c>
      <c r="O121" s="7"/>
    </row>
    <row r="122" spans="2:15" ht="18" customHeight="1" x14ac:dyDescent="0.25">
      <c r="B122" s="537"/>
      <c r="C122" s="542"/>
      <c r="D122" s="50" t="s">
        <v>288</v>
      </c>
      <c r="E122" s="83"/>
      <c r="F122" s="83"/>
      <c r="G122" s="83"/>
      <c r="H122" s="83"/>
      <c r="I122" s="83"/>
      <c r="J122" s="83"/>
      <c r="K122" s="83"/>
      <c r="L122" s="83"/>
      <c r="M122" s="83"/>
      <c r="N122" s="83"/>
      <c r="O122" s="7"/>
    </row>
    <row r="123" spans="2:15" ht="18" customHeight="1" x14ac:dyDescent="0.25">
      <c r="B123" s="537"/>
      <c r="C123" s="542"/>
      <c r="D123" s="48" t="s">
        <v>289</v>
      </c>
      <c r="E123" s="83"/>
      <c r="F123" s="83"/>
      <c r="G123" s="83"/>
      <c r="H123" s="83"/>
      <c r="I123" s="83"/>
      <c r="J123" s="83"/>
      <c r="K123" s="83"/>
      <c r="L123" s="83"/>
      <c r="M123" s="83"/>
      <c r="N123" s="83"/>
      <c r="O123" s="7"/>
    </row>
    <row r="124" spans="2:15" ht="18" customHeight="1" x14ac:dyDescent="0.25">
      <c r="B124" s="537"/>
      <c r="C124" s="542"/>
      <c r="D124" s="48" t="s">
        <v>163</v>
      </c>
      <c r="E124" s="83"/>
      <c r="F124" s="305"/>
      <c r="G124" s="83"/>
      <c r="H124" s="305"/>
      <c r="I124" s="83"/>
      <c r="J124" s="305"/>
      <c r="K124" s="83"/>
      <c r="L124" s="305"/>
      <c r="M124" s="83"/>
      <c r="N124" s="305"/>
      <c r="O124" s="7"/>
    </row>
    <row r="125" spans="2:15" ht="18" customHeight="1" x14ac:dyDescent="0.25">
      <c r="B125" s="537"/>
      <c r="C125" s="542"/>
      <c r="D125" s="48" t="s">
        <v>164</v>
      </c>
      <c r="E125" s="83"/>
      <c r="F125" s="305"/>
      <c r="G125" s="83"/>
      <c r="H125" s="305"/>
      <c r="I125" s="83"/>
      <c r="J125" s="305"/>
      <c r="K125" s="83"/>
      <c r="L125" s="305"/>
      <c r="M125" s="83"/>
      <c r="N125" s="305"/>
      <c r="O125" s="7"/>
    </row>
    <row r="126" spans="2:15" ht="18" customHeight="1" x14ac:dyDescent="0.25">
      <c r="B126" s="537"/>
      <c r="C126" s="542"/>
      <c r="D126" s="48" t="s">
        <v>165</v>
      </c>
      <c r="E126" s="83"/>
      <c r="F126" s="305"/>
      <c r="G126" s="83"/>
      <c r="H126" s="305"/>
      <c r="I126" s="83"/>
      <c r="J126" s="305"/>
      <c r="K126" s="83"/>
      <c r="L126" s="305"/>
      <c r="M126" s="83"/>
      <c r="N126" s="305"/>
      <c r="O126" s="7"/>
    </row>
    <row r="127" spans="2:15" ht="18" customHeight="1" x14ac:dyDescent="0.25">
      <c r="B127" s="537"/>
      <c r="C127" s="542"/>
      <c r="D127" s="48" t="s">
        <v>166</v>
      </c>
      <c r="E127" s="83"/>
      <c r="F127" s="305"/>
      <c r="G127" s="83"/>
      <c r="H127" s="305"/>
      <c r="I127" s="83"/>
      <c r="J127" s="305"/>
      <c r="K127" s="83"/>
      <c r="L127" s="305"/>
      <c r="M127" s="83"/>
      <c r="N127" s="305"/>
      <c r="O127" s="7"/>
    </row>
    <row r="128" spans="2:15" ht="18" customHeight="1" x14ac:dyDescent="0.25">
      <c r="B128" s="537"/>
      <c r="C128" s="542"/>
      <c r="D128" s="48" t="s">
        <v>167</v>
      </c>
      <c r="E128" s="83"/>
      <c r="F128" s="305"/>
      <c r="G128" s="83"/>
      <c r="H128" s="305"/>
      <c r="I128" s="83"/>
      <c r="J128" s="305"/>
      <c r="K128" s="83"/>
      <c r="L128" s="305"/>
      <c r="M128" s="83"/>
      <c r="N128" s="305"/>
      <c r="O128" s="7"/>
    </row>
    <row r="129" spans="2:15" ht="18" customHeight="1" x14ac:dyDescent="0.25">
      <c r="B129" s="537"/>
      <c r="C129" s="542"/>
      <c r="D129" s="48" t="s">
        <v>168</v>
      </c>
      <c r="E129" s="83"/>
      <c r="F129" s="305"/>
      <c r="G129" s="83"/>
      <c r="H129" s="305"/>
      <c r="I129" s="83"/>
      <c r="J129" s="305"/>
      <c r="K129" s="83"/>
      <c r="L129" s="305"/>
      <c r="M129" s="83"/>
      <c r="N129" s="305"/>
      <c r="O129" s="7"/>
    </row>
    <row r="130" spans="2:15" ht="15.75" customHeight="1" thickBot="1" x14ac:dyDescent="0.3">
      <c r="B130" s="539"/>
      <c r="C130" s="543"/>
      <c r="D130" s="49" t="s">
        <v>169</v>
      </c>
      <c r="E130" s="84"/>
      <c r="F130" s="306"/>
      <c r="G130" s="84"/>
      <c r="H130" s="306"/>
      <c r="I130" s="84"/>
      <c r="J130" s="306"/>
      <c r="K130" s="84"/>
      <c r="L130" s="306"/>
      <c r="M130" s="84"/>
      <c r="N130" s="306"/>
      <c r="O130" s="7"/>
    </row>
    <row r="131" spans="2:15" ht="18" customHeight="1" x14ac:dyDescent="0.25">
      <c r="B131" s="544" t="s">
        <v>170</v>
      </c>
      <c r="C131" s="545"/>
      <c r="D131" s="78" t="s">
        <v>171</v>
      </c>
      <c r="E131" s="85">
        <f t="shared" ref="E131:N131" si="24">E67+E82</f>
        <v>324200000</v>
      </c>
      <c r="F131" s="307">
        <f t="shared" si="24"/>
        <v>295600000</v>
      </c>
      <c r="G131" s="85">
        <f t="shared" si="24"/>
        <v>449280000</v>
      </c>
      <c r="H131" s="307">
        <f t="shared" si="24"/>
        <v>468530000</v>
      </c>
      <c r="I131" s="85">
        <f t="shared" si="24"/>
        <v>258700000</v>
      </c>
      <c r="J131" s="307">
        <f t="shared" si="24"/>
        <v>612000000</v>
      </c>
      <c r="K131" s="85">
        <f t="shared" si="24"/>
        <v>479000000</v>
      </c>
      <c r="L131" s="307">
        <f t="shared" si="24"/>
        <v>0</v>
      </c>
      <c r="M131" s="85">
        <f t="shared" si="24"/>
        <v>0</v>
      </c>
      <c r="N131" s="307">
        <f t="shared" si="24"/>
        <v>0</v>
      </c>
      <c r="O131" s="7"/>
    </row>
    <row r="132" spans="2:15" ht="18" customHeight="1" x14ac:dyDescent="0.25">
      <c r="B132" s="546"/>
      <c r="C132" s="547"/>
      <c r="D132" s="19" t="s">
        <v>172</v>
      </c>
      <c r="E132" s="247">
        <f>E67/E62</f>
        <v>2.6901357822845284</v>
      </c>
      <c r="F132" s="308">
        <f t="shared" ref="F132:N132" si="25">F67/F62</f>
        <v>1.8034938385413526</v>
      </c>
      <c r="G132" s="247">
        <f t="shared" si="25"/>
        <v>2.2229754714655492</v>
      </c>
      <c r="H132" s="308">
        <f t="shared" si="25"/>
        <v>2.1784633972202769</v>
      </c>
      <c r="I132" s="247">
        <f t="shared" si="25"/>
        <v>2.0293376822234785</v>
      </c>
      <c r="J132" s="308">
        <f t="shared" si="25"/>
        <v>2.0355876416623127</v>
      </c>
      <c r="K132" s="247">
        <f t="shared" si="25"/>
        <v>2.4679076595457778</v>
      </c>
      <c r="L132" s="308" t="e">
        <f t="shared" si="25"/>
        <v>#DIV/0!</v>
      </c>
      <c r="M132" s="247" t="e">
        <f t="shared" si="25"/>
        <v>#DIV/0!</v>
      </c>
      <c r="N132" s="308" t="e">
        <f t="shared" si="25"/>
        <v>#DIV/0!</v>
      </c>
      <c r="O132" s="7"/>
    </row>
    <row r="133" spans="2:15" ht="21" customHeight="1" x14ac:dyDescent="0.25">
      <c r="B133" s="546"/>
      <c r="C133" s="547"/>
      <c r="D133" s="19" t="s">
        <v>173</v>
      </c>
      <c r="E133" s="248"/>
      <c r="F133" s="296"/>
      <c r="G133" s="248"/>
      <c r="H133" s="296"/>
      <c r="I133" s="248"/>
      <c r="J133" s="296"/>
      <c r="K133" s="248"/>
      <c r="L133" s="296"/>
      <c r="M133" s="248"/>
      <c r="N133" s="296"/>
      <c r="O133" s="7"/>
    </row>
    <row r="134" spans="2:15" ht="44.25" customHeight="1" thickBot="1" x14ac:dyDescent="0.3">
      <c r="B134" s="548"/>
      <c r="C134" s="549"/>
      <c r="D134" s="237" t="s">
        <v>220</v>
      </c>
      <c r="E134" s="248"/>
      <c r="F134" s="296"/>
      <c r="G134" s="248"/>
      <c r="H134" s="296"/>
      <c r="I134" s="248"/>
      <c r="J134" s="296"/>
      <c r="K134" s="248"/>
      <c r="L134" s="296"/>
      <c r="M134" s="248"/>
      <c r="N134" s="296"/>
      <c r="O134" s="7"/>
    </row>
    <row r="135" spans="2:15" ht="18" customHeight="1" x14ac:dyDescent="0.4">
      <c r="B135" s="535" t="s">
        <v>40</v>
      </c>
      <c r="C135" s="541"/>
      <c r="D135" s="19" t="s">
        <v>44</v>
      </c>
      <c r="E135" s="1"/>
      <c r="F135" s="309"/>
      <c r="G135" s="1"/>
      <c r="H135" s="314"/>
      <c r="I135" s="1"/>
      <c r="J135" s="314"/>
      <c r="K135" s="1"/>
      <c r="L135" s="314"/>
      <c r="M135" s="1"/>
      <c r="N135" s="314"/>
      <c r="O135" s="69"/>
    </row>
    <row r="136" spans="2:15" ht="18" customHeight="1" x14ac:dyDescent="0.4">
      <c r="B136" s="537"/>
      <c r="C136" s="542"/>
      <c r="D136" s="19" t="s">
        <v>20</v>
      </c>
      <c r="E136" s="1"/>
      <c r="F136" s="309"/>
      <c r="G136" s="1"/>
      <c r="H136" s="314"/>
      <c r="I136" s="1"/>
      <c r="J136" s="314"/>
      <c r="K136" s="1"/>
      <c r="L136" s="314"/>
      <c r="M136" s="1"/>
      <c r="N136" s="314"/>
      <c r="O136" s="69"/>
    </row>
    <row r="137" spans="2:15" ht="18" customHeight="1" x14ac:dyDescent="0.4">
      <c r="B137" s="537"/>
      <c r="C137" s="542"/>
      <c r="D137" s="19" t="s">
        <v>64</v>
      </c>
      <c r="E137" s="1"/>
      <c r="F137" s="309"/>
      <c r="G137" s="1"/>
      <c r="H137" s="314"/>
      <c r="I137" s="1"/>
      <c r="J137" s="314"/>
      <c r="K137" s="1"/>
      <c r="L137" s="314"/>
      <c r="M137" s="1"/>
      <c r="N137" s="314"/>
      <c r="O137" s="69"/>
    </row>
    <row r="138" spans="2:15" ht="18" customHeight="1" x14ac:dyDescent="0.4">
      <c r="B138" s="537"/>
      <c r="C138" s="542"/>
      <c r="D138" s="19" t="s">
        <v>25</v>
      </c>
      <c r="E138" s="1"/>
      <c r="F138" s="309"/>
      <c r="G138" s="1"/>
      <c r="H138" s="314"/>
      <c r="I138" s="1"/>
      <c r="J138" s="314"/>
      <c r="K138" s="1"/>
      <c r="L138" s="314"/>
      <c r="M138" s="1"/>
      <c r="N138" s="314"/>
      <c r="O138" s="69"/>
    </row>
    <row r="139" spans="2:15" ht="18" customHeight="1" x14ac:dyDescent="0.4">
      <c r="B139" s="537"/>
      <c r="C139" s="542"/>
      <c r="D139" s="19" t="s">
        <v>45</v>
      </c>
      <c r="E139" s="1"/>
      <c r="F139" s="309"/>
      <c r="G139" s="1"/>
      <c r="H139" s="314"/>
      <c r="I139" s="1"/>
      <c r="J139" s="314"/>
      <c r="K139" s="1"/>
      <c r="L139" s="314"/>
      <c r="M139" s="1"/>
      <c r="N139" s="314"/>
      <c r="O139" s="69"/>
    </row>
    <row r="140" spans="2:15" ht="18" customHeight="1" x14ac:dyDescent="0.4">
      <c r="B140" s="537"/>
      <c r="C140" s="542"/>
      <c r="D140" s="19" t="s">
        <v>46</v>
      </c>
      <c r="E140" s="1"/>
      <c r="F140" s="309"/>
      <c r="G140" s="1"/>
      <c r="H140" s="314"/>
      <c r="I140" s="1"/>
      <c r="J140" s="314"/>
      <c r="K140" s="1"/>
      <c r="L140" s="314"/>
      <c r="M140" s="1"/>
      <c r="N140" s="314"/>
      <c r="O140" s="69"/>
    </row>
    <row r="141" spans="2:15" ht="18" customHeight="1" x14ac:dyDescent="0.4">
      <c r="B141" s="537"/>
      <c r="C141" s="542"/>
      <c r="D141" s="19" t="s">
        <v>66</v>
      </c>
      <c r="E141" s="1"/>
      <c r="F141" s="309"/>
      <c r="G141" s="1"/>
      <c r="H141" s="314"/>
      <c r="I141" s="1"/>
      <c r="J141" s="314"/>
      <c r="K141" s="1"/>
      <c r="L141" s="314"/>
      <c r="M141" s="1"/>
      <c r="N141" s="314"/>
      <c r="O141" s="69"/>
    </row>
    <row r="142" spans="2:15" ht="18" customHeight="1" x14ac:dyDescent="0.4">
      <c r="B142" s="537"/>
      <c r="C142" s="542"/>
      <c r="D142" s="19" t="s">
        <v>47</v>
      </c>
      <c r="E142" s="1"/>
      <c r="F142" s="309"/>
      <c r="G142" s="1"/>
      <c r="H142" s="314"/>
      <c r="I142" s="1"/>
      <c r="J142" s="314"/>
      <c r="K142" s="1"/>
      <c r="L142" s="314"/>
      <c r="M142" s="1"/>
      <c r="N142" s="314"/>
      <c r="O142" s="69"/>
    </row>
    <row r="143" spans="2:15" ht="18" customHeight="1" x14ac:dyDescent="0.4">
      <c r="B143" s="537"/>
      <c r="C143" s="542"/>
      <c r="D143" s="19" t="s">
        <v>48</v>
      </c>
      <c r="E143" s="1"/>
      <c r="F143" s="309"/>
      <c r="G143" s="1"/>
      <c r="H143" s="314"/>
      <c r="I143" s="1"/>
      <c r="J143" s="314"/>
      <c r="K143" s="1"/>
      <c r="L143" s="314"/>
      <c r="M143" s="1"/>
      <c r="N143" s="314"/>
      <c r="O143" s="69"/>
    </row>
    <row r="144" spans="2:15" ht="18" customHeight="1" x14ac:dyDescent="0.4">
      <c r="B144" s="537"/>
      <c r="C144" s="542"/>
      <c r="D144" s="19" t="s">
        <v>49</v>
      </c>
      <c r="E144" s="1"/>
      <c r="F144" s="309"/>
      <c r="G144" s="1"/>
      <c r="H144" s="314"/>
      <c r="I144" s="1"/>
      <c r="J144" s="314"/>
      <c r="K144" s="1"/>
      <c r="L144" s="314"/>
      <c r="M144" s="1"/>
      <c r="N144" s="314"/>
      <c r="O144" s="69"/>
    </row>
    <row r="145" spans="2:15" ht="18" customHeight="1" x14ac:dyDescent="0.4">
      <c r="B145" s="537"/>
      <c r="C145" s="542"/>
      <c r="D145" s="19" t="s">
        <v>65</v>
      </c>
      <c r="E145" s="1"/>
      <c r="F145" s="309"/>
      <c r="G145" s="1"/>
      <c r="H145" s="314"/>
      <c r="I145" s="1"/>
      <c r="J145" s="314"/>
      <c r="K145" s="1"/>
      <c r="L145" s="314"/>
      <c r="M145" s="1"/>
      <c r="N145" s="314"/>
      <c r="O145" s="69"/>
    </row>
    <row r="146" spans="2:15" ht="18" customHeight="1" thickBot="1" x14ac:dyDescent="0.45">
      <c r="B146" s="539"/>
      <c r="C146" s="543"/>
      <c r="D146" s="373" t="s">
        <v>50</v>
      </c>
      <c r="E146" s="374"/>
      <c r="F146" s="375"/>
      <c r="G146" s="374"/>
      <c r="H146" s="376"/>
      <c r="I146" s="374"/>
      <c r="J146" s="376"/>
      <c r="K146" s="374"/>
      <c r="L146" s="376"/>
      <c r="M146" s="374"/>
      <c r="N146" s="376"/>
      <c r="O146" s="69"/>
    </row>
    <row r="147" spans="2:15" ht="18" customHeight="1" x14ac:dyDescent="0.4">
      <c r="B147" s="535" t="s">
        <v>280</v>
      </c>
      <c r="C147" s="541"/>
      <c r="D147" s="207" t="s">
        <v>257</v>
      </c>
      <c r="E147" s="377"/>
      <c r="F147" s="378"/>
      <c r="G147" s="377"/>
      <c r="H147" s="379"/>
      <c r="I147" s="377"/>
      <c r="J147" s="379"/>
      <c r="K147" s="377"/>
      <c r="L147" s="379"/>
      <c r="M147" s="377"/>
      <c r="N147" s="379"/>
      <c r="O147" s="69"/>
    </row>
    <row r="148" spans="2:15" ht="18" customHeight="1" x14ac:dyDescent="0.4">
      <c r="B148" s="537"/>
      <c r="C148" s="542"/>
      <c r="D148" s="208" t="s">
        <v>259</v>
      </c>
      <c r="E148" s="249"/>
      <c r="F148" s="310"/>
      <c r="G148" s="249"/>
      <c r="H148" s="315"/>
      <c r="I148" s="249"/>
      <c r="J148" s="315"/>
      <c r="K148" s="249"/>
      <c r="L148" s="315"/>
      <c r="M148" s="249"/>
      <c r="N148" s="315"/>
      <c r="O148" s="69"/>
    </row>
    <row r="149" spans="2:15" ht="18" customHeight="1" x14ac:dyDescent="0.4">
      <c r="B149" s="537"/>
      <c r="C149" s="542"/>
      <c r="D149" s="208" t="s">
        <v>261</v>
      </c>
      <c r="E149" s="249"/>
      <c r="F149" s="310"/>
      <c r="G149" s="249"/>
      <c r="H149" s="315"/>
      <c r="I149" s="249"/>
      <c r="J149" s="315"/>
      <c r="K149" s="249"/>
      <c r="L149" s="315"/>
      <c r="M149" s="249"/>
      <c r="N149" s="315"/>
      <c r="O149" s="69"/>
    </row>
    <row r="150" spans="2:15" ht="18" customHeight="1" x14ac:dyDescent="0.4">
      <c r="B150" s="537"/>
      <c r="C150" s="542"/>
      <c r="D150" s="208" t="s">
        <v>263</v>
      </c>
      <c r="E150" s="249"/>
      <c r="F150" s="310"/>
      <c r="G150" s="249"/>
      <c r="H150" s="315"/>
      <c r="I150" s="249"/>
      <c r="J150" s="315"/>
      <c r="K150" s="249"/>
      <c r="L150" s="315"/>
      <c r="M150" s="249"/>
      <c r="N150" s="315"/>
      <c r="O150" s="69"/>
    </row>
    <row r="151" spans="2:15" ht="18" customHeight="1" x14ac:dyDescent="0.4">
      <c r="B151" s="537"/>
      <c r="C151" s="542"/>
      <c r="D151" s="208" t="s">
        <v>265</v>
      </c>
      <c r="E151" s="249"/>
      <c r="F151" s="310"/>
      <c r="G151" s="249"/>
      <c r="H151" s="315"/>
      <c r="I151" s="249"/>
      <c r="J151" s="315"/>
      <c r="K151" s="249"/>
      <c r="L151" s="315"/>
      <c r="M151" s="249"/>
      <c r="N151" s="315"/>
      <c r="O151" s="69"/>
    </row>
    <row r="152" spans="2:15" ht="18" customHeight="1" thickBot="1" x14ac:dyDescent="0.45">
      <c r="B152" s="537"/>
      <c r="C152" s="542"/>
      <c r="D152" s="209" t="s">
        <v>267</v>
      </c>
      <c r="E152" s="380"/>
      <c r="F152" s="381"/>
      <c r="G152" s="380"/>
      <c r="H152" s="382"/>
      <c r="I152" s="380"/>
      <c r="J152" s="382"/>
      <c r="K152" s="380"/>
      <c r="L152" s="382"/>
      <c r="M152" s="380"/>
      <c r="N152" s="382"/>
      <c r="O152" s="69"/>
    </row>
    <row r="153" spans="2:15" ht="18" customHeight="1" x14ac:dyDescent="0.4">
      <c r="B153" s="535" t="s">
        <v>290</v>
      </c>
      <c r="C153" s="536"/>
      <c r="D153" s="550" t="s">
        <v>337</v>
      </c>
      <c r="E153" s="369"/>
      <c r="F153" s="367"/>
      <c r="G153" s="369"/>
      <c r="H153" s="368"/>
      <c r="I153" s="369"/>
      <c r="J153" s="368"/>
      <c r="K153" s="369"/>
      <c r="L153" s="368"/>
      <c r="M153" s="369"/>
      <c r="N153" s="368"/>
      <c r="O153" s="69"/>
    </row>
    <row r="154" spans="2:15" ht="18" customHeight="1" x14ac:dyDescent="0.4">
      <c r="B154" s="537"/>
      <c r="C154" s="538"/>
      <c r="D154" s="551"/>
      <c r="E154" s="250"/>
      <c r="F154" s="311"/>
      <c r="G154" s="250"/>
      <c r="H154" s="316"/>
      <c r="I154" s="250"/>
      <c r="J154" s="316"/>
      <c r="K154" s="250"/>
      <c r="L154" s="316"/>
      <c r="M154" s="250"/>
      <c r="N154" s="316"/>
      <c r="O154" s="69"/>
    </row>
    <row r="155" spans="2:15" ht="18" customHeight="1" x14ac:dyDescent="0.4">
      <c r="B155" s="537"/>
      <c r="C155" s="538"/>
      <c r="D155" s="551" t="s">
        <v>338</v>
      </c>
      <c r="E155" s="250"/>
      <c r="F155" s="311"/>
      <c r="G155" s="250"/>
      <c r="H155" s="316"/>
      <c r="I155" s="250"/>
      <c r="J155" s="316"/>
      <c r="K155" s="250"/>
      <c r="L155" s="316"/>
      <c r="M155" s="250"/>
      <c r="N155" s="316"/>
      <c r="O155" s="69"/>
    </row>
    <row r="156" spans="2:15" ht="18" customHeight="1" x14ac:dyDescent="0.4">
      <c r="B156" s="537"/>
      <c r="C156" s="538"/>
      <c r="D156" s="551"/>
      <c r="E156" s="250"/>
      <c r="F156" s="311"/>
      <c r="G156" s="250"/>
      <c r="H156" s="316"/>
      <c r="I156" s="250"/>
      <c r="J156" s="316"/>
      <c r="K156" s="250"/>
      <c r="L156" s="316"/>
      <c r="M156" s="250"/>
      <c r="N156" s="316"/>
      <c r="O156" s="69"/>
    </row>
    <row r="157" spans="2:15" ht="18" customHeight="1" x14ac:dyDescent="0.4">
      <c r="B157" s="537"/>
      <c r="C157" s="538"/>
      <c r="D157" s="551" t="s">
        <v>339</v>
      </c>
      <c r="E157" s="250"/>
      <c r="F157" s="311"/>
      <c r="G157" s="250"/>
      <c r="H157" s="316"/>
      <c r="I157" s="250"/>
      <c r="J157" s="316"/>
      <c r="K157" s="250"/>
      <c r="L157" s="316"/>
      <c r="M157" s="250"/>
      <c r="N157" s="316"/>
      <c r="O157" s="69"/>
    </row>
    <row r="158" spans="2:15" ht="18" customHeight="1" x14ac:dyDescent="0.4">
      <c r="B158" s="537"/>
      <c r="C158" s="538"/>
      <c r="D158" s="551"/>
      <c r="E158" s="250"/>
      <c r="F158" s="311"/>
      <c r="G158" s="250"/>
      <c r="H158" s="316"/>
      <c r="I158" s="250"/>
      <c r="J158" s="316"/>
      <c r="K158" s="250"/>
      <c r="L158" s="316"/>
      <c r="M158" s="250"/>
      <c r="N158" s="316"/>
      <c r="O158" s="69"/>
    </row>
    <row r="159" spans="2:15" ht="18" customHeight="1" x14ac:dyDescent="0.4">
      <c r="B159" s="537"/>
      <c r="C159" s="538"/>
      <c r="D159" s="551" t="s">
        <v>340</v>
      </c>
      <c r="E159" s="250"/>
      <c r="F159" s="311"/>
      <c r="G159" s="250"/>
      <c r="H159" s="316"/>
      <c r="I159" s="250"/>
      <c r="J159" s="316"/>
      <c r="K159" s="250"/>
      <c r="L159" s="316"/>
      <c r="M159" s="250"/>
      <c r="N159" s="316"/>
      <c r="O159" s="69"/>
    </row>
    <row r="160" spans="2:15" ht="18" customHeight="1" x14ac:dyDescent="0.4">
      <c r="B160" s="537"/>
      <c r="C160" s="538"/>
      <c r="D160" s="551"/>
      <c r="E160" s="250"/>
      <c r="F160" s="311"/>
      <c r="G160" s="250"/>
      <c r="H160" s="316"/>
      <c r="I160" s="250"/>
      <c r="J160" s="316"/>
      <c r="K160" s="250"/>
      <c r="L160" s="316"/>
      <c r="M160" s="250"/>
      <c r="N160" s="316"/>
      <c r="O160" s="69"/>
    </row>
    <row r="161" spans="2:15" ht="18" customHeight="1" thickBot="1" x14ac:dyDescent="0.45">
      <c r="B161" s="537"/>
      <c r="C161" s="538"/>
      <c r="D161" s="551" t="s">
        <v>341</v>
      </c>
      <c r="E161" s="250"/>
      <c r="F161" s="311"/>
      <c r="G161" s="250"/>
      <c r="H161" s="316"/>
      <c r="I161" s="250"/>
      <c r="J161" s="316"/>
      <c r="K161" s="250"/>
      <c r="L161" s="316"/>
      <c r="M161" s="250"/>
      <c r="N161" s="366"/>
      <c r="O161" s="69"/>
    </row>
    <row r="162" spans="2:15" ht="18" customHeight="1" thickBot="1" x14ac:dyDescent="0.45">
      <c r="B162" s="537"/>
      <c r="C162" s="538"/>
      <c r="D162" s="551"/>
      <c r="E162" s="250"/>
      <c r="F162" s="311"/>
      <c r="G162" s="250"/>
      <c r="H162" s="316"/>
      <c r="I162" s="250"/>
      <c r="J162" s="316"/>
      <c r="K162" s="250"/>
      <c r="L162" s="316"/>
      <c r="M162" s="370"/>
      <c r="N162" s="372"/>
      <c r="O162" s="69"/>
    </row>
    <row r="163" spans="2:15" ht="18" customHeight="1" x14ac:dyDescent="0.4">
      <c r="B163" s="537"/>
      <c r="C163" s="538"/>
      <c r="D163" s="551" t="s">
        <v>342</v>
      </c>
      <c r="E163" s="250"/>
      <c r="F163" s="311"/>
      <c r="G163" s="250"/>
      <c r="H163" s="316"/>
      <c r="I163" s="250"/>
      <c r="J163" s="316"/>
      <c r="K163" s="250"/>
      <c r="L163" s="316"/>
      <c r="M163" s="250"/>
      <c r="N163" s="371"/>
      <c r="O163" s="69"/>
    </row>
    <row r="164" spans="2:15" ht="18" customHeight="1" x14ac:dyDescent="0.4">
      <c r="B164" s="537"/>
      <c r="C164" s="538"/>
      <c r="D164" s="551"/>
      <c r="E164" s="250"/>
      <c r="F164" s="311"/>
      <c r="G164" s="250"/>
      <c r="H164" s="316"/>
      <c r="I164" s="250"/>
      <c r="J164" s="316"/>
      <c r="K164" s="250"/>
      <c r="L164" s="316"/>
      <c r="M164" s="250"/>
      <c r="N164" s="316"/>
      <c r="O164" s="69"/>
    </row>
    <row r="165" spans="2:15" ht="18" customHeight="1" x14ac:dyDescent="0.4">
      <c r="B165" s="537"/>
      <c r="C165" s="538"/>
      <c r="D165" s="551" t="s">
        <v>343</v>
      </c>
      <c r="E165" s="250"/>
      <c r="F165" s="311"/>
      <c r="G165" s="250"/>
      <c r="H165" s="316"/>
      <c r="I165" s="250"/>
      <c r="J165" s="316"/>
      <c r="K165" s="250"/>
      <c r="L165" s="316"/>
      <c r="M165" s="250"/>
      <c r="N165" s="316"/>
      <c r="O165" s="69"/>
    </row>
    <row r="166" spans="2:15" ht="18" customHeight="1" x14ac:dyDescent="0.4">
      <c r="B166" s="537"/>
      <c r="C166" s="538"/>
      <c r="D166" s="551"/>
      <c r="E166" s="250"/>
      <c r="F166" s="311"/>
      <c r="G166" s="250"/>
      <c r="H166" s="316"/>
      <c r="I166" s="250"/>
      <c r="J166" s="316"/>
      <c r="K166" s="250"/>
      <c r="L166" s="316"/>
      <c r="M166" s="250"/>
      <c r="N166" s="316"/>
      <c r="O166" s="69"/>
    </row>
    <row r="167" spans="2:15" ht="18" customHeight="1" x14ac:dyDescent="0.4">
      <c r="B167" s="537"/>
      <c r="C167" s="538"/>
      <c r="D167" s="551" t="s">
        <v>344</v>
      </c>
      <c r="E167" s="250"/>
      <c r="F167" s="311"/>
      <c r="G167" s="250"/>
      <c r="H167" s="316"/>
      <c r="I167" s="250"/>
      <c r="J167" s="316"/>
      <c r="K167" s="250"/>
      <c r="L167" s="316"/>
      <c r="M167" s="250"/>
      <c r="N167" s="316"/>
      <c r="O167" s="69"/>
    </row>
    <row r="168" spans="2:15" ht="18" customHeight="1" x14ac:dyDescent="0.4">
      <c r="B168" s="537"/>
      <c r="C168" s="538"/>
      <c r="D168" s="551"/>
      <c r="E168" s="250"/>
      <c r="F168" s="311"/>
      <c r="G168" s="250"/>
      <c r="H168" s="316"/>
      <c r="I168" s="250"/>
      <c r="J168" s="316"/>
      <c r="K168" s="250"/>
      <c r="L168" s="316"/>
      <c r="M168" s="250"/>
      <c r="N168" s="316"/>
      <c r="O168" s="69"/>
    </row>
    <row r="169" spans="2:15" ht="18" customHeight="1" x14ac:dyDescent="0.4">
      <c r="B169" s="537"/>
      <c r="C169" s="538"/>
      <c r="D169" s="552" t="s">
        <v>345</v>
      </c>
      <c r="E169" s="250"/>
      <c r="F169" s="311"/>
      <c r="G169" s="250"/>
      <c r="H169" s="316"/>
      <c r="I169" s="250"/>
      <c r="J169" s="316"/>
      <c r="K169" s="250"/>
      <c r="L169" s="316"/>
      <c r="M169" s="250"/>
      <c r="N169" s="316"/>
      <c r="O169" s="69"/>
    </row>
    <row r="170" spans="2:15" ht="18" customHeight="1" x14ac:dyDescent="0.4">
      <c r="B170" s="537"/>
      <c r="C170" s="538"/>
      <c r="D170" s="553"/>
      <c r="E170" s="250"/>
      <c r="F170" s="311"/>
      <c r="G170" s="250"/>
      <c r="H170" s="316"/>
      <c r="I170" s="250"/>
      <c r="J170" s="316"/>
      <c r="K170" s="250"/>
      <c r="L170" s="316"/>
      <c r="M170" s="250"/>
      <c r="N170" s="316"/>
      <c r="O170" s="69"/>
    </row>
    <row r="171" spans="2:15" ht="18" customHeight="1" x14ac:dyDescent="0.4">
      <c r="B171" s="537"/>
      <c r="C171" s="538"/>
      <c r="D171" s="552" t="s">
        <v>346</v>
      </c>
      <c r="E171" s="250"/>
      <c r="F171" s="311"/>
      <c r="G171" s="250"/>
      <c r="H171" s="316"/>
      <c r="I171" s="250"/>
      <c r="J171" s="316"/>
      <c r="K171" s="250"/>
      <c r="L171" s="316"/>
      <c r="M171" s="250"/>
      <c r="N171" s="316"/>
      <c r="O171" s="69"/>
    </row>
    <row r="172" spans="2:15" ht="18" customHeight="1" thickBot="1" x14ac:dyDescent="0.45">
      <c r="B172" s="539"/>
      <c r="C172" s="540"/>
      <c r="D172" s="554"/>
      <c r="E172" s="251"/>
      <c r="F172" s="312"/>
      <c r="G172" s="251"/>
      <c r="H172" s="317"/>
      <c r="I172" s="251"/>
      <c r="J172" s="317"/>
      <c r="K172" s="251"/>
      <c r="L172" s="317"/>
      <c r="M172" s="251"/>
      <c r="N172" s="317"/>
      <c r="O172" s="69"/>
    </row>
  </sheetData>
  <sheetProtection algorithmName="SHA-512" hashValue="zLdR7ZHq+aCPMDnaB6Nh2RTy1cnf9QbVjVvWvFB/JxJFB6rmQhBGj5KUcxvD/ZJcbcaz0ktU7i6kHqEvoerf+g==" saltValue="teIX83tZUzO+p+P0JpOZSw==" spinCount="100000" sheet="1" formatCells="0" formatColumns="0" formatRows="0" insertColumns="0" insertRows="0" insertHyperlinks="0" deleteColumns="0" deleteRows="0" selectLockedCells="1" sort="0" autoFilter="0" pivotTables="0"/>
  <mergeCells count="22">
    <mergeCell ref="D163:D164"/>
    <mergeCell ref="D165:D166"/>
    <mergeCell ref="D167:D168"/>
    <mergeCell ref="D169:D170"/>
    <mergeCell ref="D171:D172"/>
    <mergeCell ref="D153:D154"/>
    <mergeCell ref="D155:D156"/>
    <mergeCell ref="D157:D158"/>
    <mergeCell ref="D159:D160"/>
    <mergeCell ref="D161:D162"/>
    <mergeCell ref="B153:C172"/>
    <mergeCell ref="B147:C152"/>
    <mergeCell ref="B2:C21"/>
    <mergeCell ref="B22:C29"/>
    <mergeCell ref="B135:C146"/>
    <mergeCell ref="B30:C34"/>
    <mergeCell ref="B35:C39"/>
    <mergeCell ref="B40:C48"/>
    <mergeCell ref="B78:C79"/>
    <mergeCell ref="B49:C77"/>
    <mergeCell ref="B80:C130"/>
    <mergeCell ref="B131:C134"/>
  </mergeCells>
  <dataValidations count="28">
    <dataValidation type="whole" operator="greaterThanOrEqual" allowBlank="1" showInputMessage="1" showErrorMessage="1" errorTitle="اطلاعات" error="لطفا در انتخاب مبلغ دقت فرمایید." sqref="E50:N50">
      <formula1>0</formula1>
    </dataValidation>
    <dataValidation type="whole" errorStyle="warning" operator="greaterThanOrEqual" allowBlank="1" showInputMessage="1" showErrorMessage="1" errorTitle="اطلاعات" error="لطفا در ورود اطلاعات دقت فرمایید" sqref="E72:N77">
      <formula1>0</formula1>
    </dataValidation>
    <dataValidation type="whole" errorStyle="warning" operator="greaterThanOrEqual" allowBlank="1" showInputMessage="1" showErrorMessage="1" errorTitle="اطلاعات" error="لطفا در وارد کردن مبالغ و اعداد دقت فرمایید." sqref="E63:N63 E66:N70">
      <formula1>0</formula1>
    </dataValidation>
    <dataValidation type="whole" errorStyle="warning" operator="greaterThanOrEqual" allowBlank="1" showInputMessage="1" showErrorMessage="1" errorTitle="اطلاعات" error="لطفا در انتخاب مبلغ دقت فرمایید." sqref="E54:N56 E59:N59 E51:N52">
      <formula1>0</formula1>
    </dataValidation>
    <dataValidation type="list" allowBlank="1" showInputMessage="1" showErrorMessage="1" sqref="E125:N125">
      <formula1>"کانون,تاک,خودگروه"</formula1>
    </dataValidation>
    <dataValidation type="list" allowBlank="1" showInputMessage="1" showErrorMessage="1" sqref="E133:N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N120 E102:N107 E89:N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N113 E85:N87 E98:N100">
      <formula1>0</formula1>
    </dataValidation>
    <dataValidation type="whole" errorStyle="warning" operator="greaterThanOrEqual" allowBlank="1" showInputMessage="1" showErrorMessage="1" errorTitle="اطلاعات" error="لطفا در ورود اطلاعات دقت فرمایید." sqref="E81:N81">
      <formula1>0</formula1>
    </dataValidation>
    <dataValidation type="list" allowBlank="1" showInputMessage="1" showErrorMessage="1" sqref="E8:N8">
      <formula1>"فعال,غیرفعال,منحل شده"</formula1>
    </dataValidation>
    <dataValidation type="list" allowBlank="1" showInputMessage="1" showErrorMessage="1" sqref="E35:N38">
      <formula1>"قوی,متوسط,ضعیف"</formula1>
    </dataValidation>
    <dataValidation type="list" allowBlank="1" showInputMessage="1" showErrorMessage="1" sqref="E39:N39 E45:N45">
      <formula1>"دارد,ندارد"</formula1>
    </dataValidation>
    <dataValidation type="list" allowBlank="1" showInputMessage="1" showErrorMessage="1" sqref="E40:N40">
      <formula1>"ندارد,گروه یار,خزانه دار,منشی"</formula1>
    </dataValidation>
    <dataValidation type="list" allowBlank="1" showInputMessage="1" showErrorMessage="1" sqref="E41:N41">
      <formula1>"بلی,خیر,تشکیل نشده"</formula1>
    </dataValidation>
    <dataValidation type="list" allowBlank="1" showInputMessage="1" showErrorMessage="1" sqref="E42:N42">
      <formula1>"ماهانه,15 روز یکبار, کمتر از 15 روز"</formula1>
    </dataValidation>
    <dataValidation type="list" allowBlank="1" showInputMessage="1" showErrorMessage="1" sqref="E44:N44">
      <formula1>"مرتب,نامرتب"</formula1>
    </dataValidation>
    <dataValidation type="list" allowBlank="1" showInputMessage="1" showErrorMessage="1" sqref="E47:N47">
      <formula1>"انجام شده,انجام نشده"</formula1>
    </dataValidation>
    <dataValidation type="list" allowBlank="1" showInputMessage="1" showErrorMessage="1" sqref="E46:N46">
      <formula1>"1,2,3,4,5,6,7,8,9,10,11,12,13,14,15,16,17,18,19,20,21,22,23,24,25,26,27,28,29,30,31"</formula1>
    </dataValidation>
    <dataValidation type="list" allowBlank="1" showInputMessage="1" showErrorMessage="1" sqref="E48:N48">
      <formula1>"بی نقض,دارای اشتباه کم,اشتباه زیاد"</formula1>
    </dataValidation>
    <dataValidation type="list" allowBlank="1" showInputMessage="1" showErrorMessage="1" sqref="E49:N49">
      <formula1>"هفتگی,ده هفته یکبار,ماهانه"</formula1>
    </dataValidation>
    <dataValidation type="list" allowBlank="1" showInputMessage="1" showErrorMessage="1" sqref="E18:N18">
      <formula1>"الف1,الف2,الف3,الف4,الف5,الف6,الف7,ب1,ب2,ب3,ب4,ب5,ب6,ب7,پ1,پ2,پ3,پ4,پ5,پ6,پ7,پ8,پ9,پ10,پ11,پ12,پ13,پ14,ت1,ت2,ت3,ت4,ت5,ت6,ت7,ت8,ت9,ت10,ت11"</formula1>
    </dataValidation>
    <dataValidation type="list" allowBlank="1" showInputMessage="1" showErrorMessage="1" sqref="E147:N147">
      <formula1>"ب7,پرداخت شد,کسر شد,منحل شده"</formula1>
    </dataValidation>
    <dataValidation type="list" allowBlank="1" showInputMessage="1" showErrorMessage="1" sqref="E148:N148">
      <formula1>"پ9,پرداخت شد,کسر شد,منحل شده"</formula1>
    </dataValidation>
    <dataValidation type="list" allowBlank="1" showInputMessage="1" showErrorMessage="1" sqref="E149:N149">
      <formula1>"ت1,پرداخت شد,کسر شد,منحل شده"</formula1>
    </dataValidation>
    <dataValidation type="list" allowBlank="1" showInputMessage="1" showErrorMessage="1" sqref="E150:N150">
      <formula1>"ت7,پرداخت شد,کسر شد,منحل شده"</formula1>
    </dataValidation>
    <dataValidation type="list" allowBlank="1" showInputMessage="1" showErrorMessage="1" sqref="E151:N151">
      <formula1>"ت9,پرداخت شد,کسر شد,منحل شده"</formula1>
    </dataValidation>
    <dataValidation type="list" allowBlank="1" showInputMessage="1" showErrorMessage="1" sqref="E152:N152">
      <formula1>"ت11,پرداخت شد,کسر شد,منحل شده"</formula1>
    </dataValidation>
    <dataValidation type="list" allowBlank="1" showInputMessage="1" showErrorMessage="1" sqref="E154:N154 E156:N156 E158:N158 E160:N160 E162:N162 E164:N164 E166:N166 E168:N168 E170:N170 E172:N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3"/>
  <sheetViews>
    <sheetView rightToLeft="1" zoomScale="89" zoomScaleNormal="89" workbookViewId="0">
      <selection sqref="A1:XFD1048576"/>
    </sheetView>
  </sheetViews>
  <sheetFormatPr defaultRowHeight="18" x14ac:dyDescent="0.25"/>
  <cols>
    <col min="1" max="1" width="1.28515625" style="70" customWidth="1"/>
    <col min="2" max="2" width="6.7109375" style="70" customWidth="1"/>
    <col min="3" max="3" width="9.140625" style="70"/>
    <col min="4" max="4" width="10.42578125" style="70" customWidth="1"/>
    <col min="5" max="5" width="9.140625" style="70"/>
    <col min="6" max="6" width="12.5703125" style="70" customWidth="1"/>
    <col min="7" max="7" width="14" style="70" customWidth="1"/>
    <col min="8" max="8" width="13" style="70" customWidth="1"/>
    <col min="9" max="9" width="12.5703125" style="70" customWidth="1"/>
    <col min="10" max="10" width="11.7109375" style="70" customWidth="1"/>
    <col min="11" max="11" width="9.5703125" style="70" customWidth="1"/>
    <col min="12" max="12" width="8.140625" style="70" customWidth="1"/>
    <col min="13" max="13" width="16.5703125" style="70" customWidth="1"/>
    <col min="14" max="14" width="16.140625" style="70" customWidth="1"/>
    <col min="15" max="15" width="15.85546875" style="70" customWidth="1"/>
    <col min="16" max="18" width="14.5703125" style="70" customWidth="1"/>
    <col min="19" max="19" width="8.5703125" style="70" customWidth="1"/>
    <col min="20" max="20" width="13.28515625" style="70" customWidth="1"/>
    <col min="21" max="21" width="8.7109375" style="70" customWidth="1"/>
    <col min="22" max="22" width="12" style="70" customWidth="1"/>
    <col min="23" max="24" width="8.42578125" style="70" customWidth="1"/>
    <col min="25" max="25" width="10.7109375" style="70" customWidth="1"/>
    <col min="26" max="26" width="8.5703125" style="70" customWidth="1"/>
    <col min="27" max="27" width="12" style="70" customWidth="1"/>
    <col min="28" max="36" width="10" style="70" customWidth="1"/>
    <col min="37" max="37" width="9.42578125" style="70" customWidth="1"/>
    <col min="38" max="16384" width="9.140625" style="70"/>
  </cols>
  <sheetData>
    <row r="2" spans="2:38" ht="18.75" thickBot="1" x14ac:dyDescent="0.3">
      <c r="B2" s="71"/>
      <c r="U2" s="136"/>
      <c r="V2" s="136"/>
      <c r="W2" s="136"/>
      <c r="X2" s="136"/>
      <c r="Y2" s="136"/>
      <c r="Z2" s="136"/>
      <c r="AA2" s="136"/>
      <c r="AB2" s="136"/>
      <c r="AC2" s="136"/>
      <c r="AD2" s="136"/>
      <c r="AE2" s="136"/>
      <c r="AF2" s="136"/>
      <c r="AG2" s="136"/>
      <c r="AH2" s="136"/>
      <c r="AI2" s="136"/>
      <c r="AJ2" s="136"/>
      <c r="AK2" s="136"/>
      <c r="AL2" s="136"/>
    </row>
    <row r="3" spans="2:38" s="135" customFormat="1" ht="63" customHeight="1" thickBot="1" x14ac:dyDescent="0.3">
      <c r="B3" s="346" t="s">
        <v>71</v>
      </c>
      <c r="C3" s="347" t="s">
        <v>59</v>
      </c>
      <c r="D3" s="347" t="s">
        <v>60</v>
      </c>
      <c r="E3" s="347" t="s">
        <v>33</v>
      </c>
      <c r="F3" s="347" t="s">
        <v>9</v>
      </c>
      <c r="G3" s="347" t="s">
        <v>52</v>
      </c>
      <c r="H3" s="347" t="s">
        <v>10</v>
      </c>
      <c r="I3" s="347" t="s">
        <v>72</v>
      </c>
      <c r="J3" s="347" t="s">
        <v>51</v>
      </c>
      <c r="K3" s="347" t="s">
        <v>21</v>
      </c>
      <c r="L3" s="347" t="s">
        <v>73</v>
      </c>
      <c r="M3" s="347" t="s">
        <v>74</v>
      </c>
      <c r="N3" s="347" t="s">
        <v>75</v>
      </c>
      <c r="O3" s="348" t="str">
        <f>payesh!D16</f>
        <v>عمر گروه از تاریخ تشکیل (افتتاح حساب پس انداز در بانک) به ماه</v>
      </c>
      <c r="P3" s="347" t="s">
        <v>53</v>
      </c>
      <c r="Q3" s="347" t="s">
        <v>54</v>
      </c>
      <c r="R3" s="347" t="s">
        <v>55</v>
      </c>
      <c r="S3" s="347" t="s">
        <v>294</v>
      </c>
      <c r="T3" s="347" t="s">
        <v>76</v>
      </c>
      <c r="U3" s="347" t="s">
        <v>295</v>
      </c>
      <c r="V3" s="347" t="s">
        <v>77</v>
      </c>
      <c r="W3" s="347" t="s">
        <v>78</v>
      </c>
      <c r="X3" s="347" t="s">
        <v>174</v>
      </c>
      <c r="Y3" s="347" t="s">
        <v>79</v>
      </c>
      <c r="Z3" s="347" t="s">
        <v>80</v>
      </c>
      <c r="AA3" s="347" t="s">
        <v>81</v>
      </c>
      <c r="AB3" s="347" t="s">
        <v>82</v>
      </c>
      <c r="AC3" s="347" t="s">
        <v>83</v>
      </c>
      <c r="AD3" s="347" t="s">
        <v>84</v>
      </c>
      <c r="AE3" s="347" t="s">
        <v>85</v>
      </c>
      <c r="AF3" s="347" t="s">
        <v>86</v>
      </c>
      <c r="AG3" s="347" t="s">
        <v>87</v>
      </c>
      <c r="AH3" s="347" t="s">
        <v>88</v>
      </c>
      <c r="AI3" s="347" t="s">
        <v>291</v>
      </c>
      <c r="AJ3" s="347" t="s">
        <v>292</v>
      </c>
      <c r="AK3" s="349" t="s">
        <v>293</v>
      </c>
    </row>
    <row r="4" spans="2:38" ht="18.75" thickBot="1" x14ac:dyDescent="0.3">
      <c r="B4" s="340">
        <f>payesh!E7</f>
        <v>1</v>
      </c>
      <c r="C4" s="328" t="str">
        <f>payesh!E3</f>
        <v>کردستان</v>
      </c>
      <c r="D4" s="328" t="str">
        <f>payesh!E4</f>
        <v>سنندج</v>
      </c>
      <c r="E4" s="328" t="str">
        <f>payesh!E5</f>
        <v>سراب قامیش</v>
      </c>
      <c r="F4" s="328" t="str">
        <f>payesh!E6</f>
        <v>گولان</v>
      </c>
      <c r="G4" s="328" t="str">
        <f>payesh!E10</f>
        <v>کلینیک مهر</v>
      </c>
      <c r="H4" s="328" t="str">
        <f>payesh!E13</f>
        <v>آزاده امجدی</v>
      </c>
      <c r="I4" s="329">
        <f>payesh!E14</f>
        <v>9182876104</v>
      </c>
      <c r="J4" s="328" t="str">
        <f>payesh!E9</f>
        <v>کرده وان اسدی</v>
      </c>
      <c r="K4" s="328" t="str">
        <f>payesh!E18</f>
        <v>پ12</v>
      </c>
      <c r="L4" s="328" t="str">
        <f>payesh!E8</f>
        <v>فعال</v>
      </c>
      <c r="M4" s="328">
        <f>payesh!E46</f>
        <v>6</v>
      </c>
      <c r="N4" s="329">
        <f>payesh!E17</f>
        <v>705747713</v>
      </c>
      <c r="O4" s="329">
        <f>payesh!E16</f>
        <v>0</v>
      </c>
      <c r="P4" s="328" t="str">
        <f>payesh!E19</f>
        <v xml:space="preserve">شهین باقری </v>
      </c>
      <c r="Q4" s="328" t="str">
        <f>payesh!E20</f>
        <v xml:space="preserve">لیلا پرتاب </v>
      </c>
      <c r="R4" s="328" t="str">
        <f>payesh!E21</f>
        <v xml:space="preserve">سیران </v>
      </c>
      <c r="S4" s="328">
        <f>payesh!$E$55</f>
        <v>1500000</v>
      </c>
      <c r="T4" s="350" t="str">
        <f>payesh!E64</f>
        <v>1393/03/10</v>
      </c>
      <c r="U4" s="328">
        <f>payesh!$E$56</f>
        <v>1500000</v>
      </c>
      <c r="V4" s="350" t="str">
        <f>payesh!E65</f>
        <v>1393/11/01</v>
      </c>
      <c r="W4" s="328">
        <f>payesh!E78</f>
        <v>0</v>
      </c>
      <c r="X4" s="328">
        <f>payesh!E79</f>
        <v>0</v>
      </c>
      <c r="Y4" s="328" t="str">
        <f>payesh!$E$83</f>
        <v>1394/03/28</v>
      </c>
      <c r="Z4" s="328">
        <f>payesh!$E$84</f>
        <v>76</v>
      </c>
      <c r="AA4" s="328">
        <f>payesh!E86</f>
        <v>185000000</v>
      </c>
      <c r="AB4" s="328">
        <f>payesh!E153</f>
        <v>0</v>
      </c>
      <c r="AC4" s="328">
        <f>payesh!E155</f>
        <v>0</v>
      </c>
      <c r="AD4" s="328">
        <f>payesh!E157</f>
        <v>0</v>
      </c>
      <c r="AE4" s="328">
        <f>payesh!E159</f>
        <v>0</v>
      </c>
      <c r="AF4" s="328">
        <f>payesh!E161</f>
        <v>0</v>
      </c>
      <c r="AG4" s="328">
        <f>payesh!E163</f>
        <v>0</v>
      </c>
      <c r="AH4" s="328">
        <f>payesh!E165</f>
        <v>0</v>
      </c>
      <c r="AI4" s="328">
        <f>payesh!E167</f>
        <v>0</v>
      </c>
      <c r="AJ4" s="328">
        <f>payesh!E169</f>
        <v>0</v>
      </c>
      <c r="AK4" s="331">
        <f>payesh!E171</f>
        <v>0</v>
      </c>
    </row>
    <row r="5" spans="2:38" ht="18.75" thickBot="1" x14ac:dyDescent="0.3">
      <c r="B5" s="333">
        <f>payesh!F7</f>
        <v>2</v>
      </c>
      <c r="C5" s="336" t="str">
        <f>payesh!F3</f>
        <v>کردستان</v>
      </c>
      <c r="D5" s="336" t="str">
        <f>payesh!F4</f>
        <v>سنندج</v>
      </c>
      <c r="E5" s="336" t="str">
        <f>payesh!F5</f>
        <v>سراب قامیش</v>
      </c>
      <c r="F5" s="336" t="str">
        <f>payesh!F6</f>
        <v>چيا</v>
      </c>
      <c r="G5" s="336" t="str">
        <f>payesh!F10</f>
        <v>کلینیک مهر</v>
      </c>
      <c r="H5" s="336" t="str">
        <f>payesh!F13</f>
        <v>ویدا رشیدی</v>
      </c>
      <c r="I5" s="337">
        <f>payesh!F14</f>
        <v>9184592400</v>
      </c>
      <c r="J5" s="336" t="str">
        <f>payesh!F9</f>
        <v>کرده وان اسدی</v>
      </c>
      <c r="K5" s="336" t="str">
        <f>payesh!F18</f>
        <v>پ12</v>
      </c>
      <c r="L5" s="336" t="str">
        <f>payesh!F8</f>
        <v>فعال</v>
      </c>
      <c r="M5" s="336">
        <f>payesh!F46</f>
        <v>6</v>
      </c>
      <c r="N5" s="337">
        <f>payesh!F17</f>
        <v>705748285</v>
      </c>
      <c r="O5" s="337">
        <f>payesh!F16</f>
        <v>0</v>
      </c>
      <c r="P5" s="336" t="str">
        <f>payesh!F19</f>
        <v>فاطمه كاظمي</v>
      </c>
      <c r="Q5" s="336" t="str">
        <f>payesh!F20</f>
        <v>بهار كاظمي</v>
      </c>
      <c r="R5" s="336" t="str">
        <f>payesh!F21</f>
        <v>رو‍‍ژين فرجي</v>
      </c>
      <c r="S5" s="336">
        <f>payesh!$F$55</f>
        <v>1500000</v>
      </c>
      <c r="T5" s="351" t="str">
        <f>payesh!F64</f>
        <v>1393/03/10</v>
      </c>
      <c r="U5" s="336">
        <f>payesh!$F$56</f>
        <v>1500000</v>
      </c>
      <c r="V5" s="351" t="str">
        <f>payesh!F65</f>
        <v>1393/11/01</v>
      </c>
      <c r="W5" s="336">
        <f>payesh!F78</f>
        <v>0</v>
      </c>
      <c r="X5" s="336">
        <f>payesh!F79</f>
        <v>0</v>
      </c>
      <c r="Y5" s="336" t="str">
        <f>payesh!$F$83</f>
        <v>1394/02/08</v>
      </c>
      <c r="Z5" s="336">
        <f>payesh!$F$84</f>
        <v>81</v>
      </c>
      <c r="AA5" s="336">
        <f>payesh!F86</f>
        <v>170000000</v>
      </c>
      <c r="AB5" s="336">
        <f>payesh!F153</f>
        <v>0</v>
      </c>
      <c r="AC5" s="336">
        <f>payesh!F155</f>
        <v>0</v>
      </c>
      <c r="AD5" s="336">
        <f>payesh!F157</f>
        <v>0</v>
      </c>
      <c r="AE5" s="336">
        <f>payesh!F159</f>
        <v>0</v>
      </c>
      <c r="AF5" s="336">
        <f>payesh!F161</f>
        <v>0</v>
      </c>
      <c r="AG5" s="336">
        <f>payesh!F163</f>
        <v>0</v>
      </c>
      <c r="AH5" s="336">
        <f>payesh!F165</f>
        <v>0</v>
      </c>
      <c r="AI5" s="336">
        <f>payesh!F167</f>
        <v>0</v>
      </c>
      <c r="AJ5" s="336">
        <f>payesh!F169</f>
        <v>0</v>
      </c>
      <c r="AK5" s="339">
        <f>payesh!F171</f>
        <v>0</v>
      </c>
    </row>
    <row r="6" spans="2:38" ht="18.75" thickBot="1" x14ac:dyDescent="0.3">
      <c r="B6" s="340">
        <f>payesh!G7</f>
        <v>3</v>
      </c>
      <c r="C6" s="328" t="str">
        <f>payesh!G3</f>
        <v>کردستان</v>
      </c>
      <c r="D6" s="328" t="str">
        <f>payesh!G4</f>
        <v>سنندج</v>
      </c>
      <c r="E6" s="328" t="str">
        <f>payesh!G5</f>
        <v>عیسی آباد</v>
      </c>
      <c r="F6" s="328" t="str">
        <f>payesh!G6</f>
        <v>مرجان</v>
      </c>
      <c r="G6" s="328" t="str">
        <f>payesh!G10</f>
        <v>کلینیک مهر</v>
      </c>
      <c r="H6" s="328" t="str">
        <f>payesh!G13</f>
        <v>ویدا رشیدی</v>
      </c>
      <c r="I6" s="329">
        <f>payesh!G14</f>
        <v>9184592400</v>
      </c>
      <c r="J6" s="328" t="str">
        <f>payesh!G9</f>
        <v>کرده وان اسدی</v>
      </c>
      <c r="K6" s="328" t="str">
        <f>payesh!G18</f>
        <v>پ12</v>
      </c>
      <c r="L6" s="328" t="str">
        <f>payesh!G8</f>
        <v>فعال</v>
      </c>
      <c r="M6" s="328">
        <f>payesh!G46</f>
        <v>29</v>
      </c>
      <c r="N6" s="329">
        <f>payesh!G17</f>
        <v>78788565</v>
      </c>
      <c r="O6" s="329">
        <f>payesh!G16</f>
        <v>0</v>
      </c>
      <c r="P6" s="328" t="str">
        <f>payesh!G19</f>
        <v>ثريا محمدي</v>
      </c>
      <c r="Q6" s="328" t="str">
        <f>payesh!G20</f>
        <v>حصيبه محمدي</v>
      </c>
      <c r="R6" s="328" t="str">
        <f>payesh!G21</f>
        <v>صبري محمدي</v>
      </c>
      <c r="S6" s="328">
        <f>payesh!$G$55</f>
        <v>1500000</v>
      </c>
      <c r="T6" s="350" t="str">
        <f>payesh!G64</f>
        <v>1394/05/17</v>
      </c>
      <c r="U6" s="328">
        <f>payesh!$G$56</f>
        <v>1500000</v>
      </c>
      <c r="V6" s="350" t="str">
        <f>payesh!G65</f>
        <v>1394/05/17</v>
      </c>
      <c r="W6" s="328">
        <f>payesh!G78</f>
        <v>0</v>
      </c>
      <c r="X6" s="328">
        <f>payesh!G79</f>
        <v>0</v>
      </c>
      <c r="Y6" s="328" t="str">
        <f>payesh!$G$83</f>
        <v>1394/03/12</v>
      </c>
      <c r="Z6" s="328">
        <f>payesh!$G$84</f>
        <v>79</v>
      </c>
      <c r="AA6" s="328">
        <f>payesh!G86</f>
        <v>305000000</v>
      </c>
      <c r="AB6" s="328">
        <f>payesh!G153</f>
        <v>0</v>
      </c>
      <c r="AC6" s="328">
        <f>payesh!G155</f>
        <v>0</v>
      </c>
      <c r="AD6" s="328">
        <f>payesh!G157</f>
        <v>0</v>
      </c>
      <c r="AE6" s="328">
        <f>payesh!G159</f>
        <v>0</v>
      </c>
      <c r="AF6" s="328">
        <f>payesh!G161</f>
        <v>0</v>
      </c>
      <c r="AG6" s="328">
        <f>payesh!G163</f>
        <v>0</v>
      </c>
      <c r="AH6" s="328">
        <f>payesh!G165</f>
        <v>0</v>
      </c>
      <c r="AI6" s="328">
        <f>payesh!G167</f>
        <v>0</v>
      </c>
      <c r="AJ6" s="328">
        <f>payesh!G169</f>
        <v>0</v>
      </c>
      <c r="AK6" s="331">
        <f>payesh!G171</f>
        <v>0</v>
      </c>
    </row>
    <row r="7" spans="2:38" ht="18.75" thickBot="1" x14ac:dyDescent="0.3">
      <c r="B7" s="333">
        <f>payesh!H7</f>
        <v>4</v>
      </c>
      <c r="C7" s="336" t="str">
        <f>payesh!H3</f>
        <v>کردستان</v>
      </c>
      <c r="D7" s="336" t="str">
        <f>payesh!H4</f>
        <v>سنندج</v>
      </c>
      <c r="E7" s="336" t="str">
        <f>payesh!H5</f>
        <v>قار</v>
      </c>
      <c r="F7" s="336" t="str">
        <f>payesh!H6</f>
        <v>رمضان</v>
      </c>
      <c r="G7" s="336" t="str">
        <f>payesh!H10</f>
        <v>کلینیک مهر</v>
      </c>
      <c r="H7" s="336" t="str">
        <f>payesh!H13</f>
        <v>ویدا رشیدی</v>
      </c>
      <c r="I7" s="337">
        <f>payesh!H14</f>
        <v>9184592400</v>
      </c>
      <c r="J7" s="336" t="str">
        <f>payesh!H9</f>
        <v>کرده وان اسدی</v>
      </c>
      <c r="K7" s="336" t="str">
        <f>payesh!H18</f>
        <v>پ12</v>
      </c>
      <c r="L7" s="336" t="str">
        <f>payesh!H8</f>
        <v>فعال</v>
      </c>
      <c r="M7" s="336">
        <f>payesh!H46</f>
        <v>30</v>
      </c>
      <c r="N7" s="337">
        <f>payesh!H17</f>
        <v>715839738</v>
      </c>
      <c r="O7" s="337">
        <f>payesh!H16</f>
        <v>0</v>
      </c>
      <c r="P7" s="336" t="str">
        <f>payesh!H19</f>
        <v>رضيه رشيدي</v>
      </c>
      <c r="Q7" s="336" t="str">
        <f>payesh!H20</f>
        <v>بهيه فرجي</v>
      </c>
      <c r="R7" s="336" t="str">
        <f>payesh!H21</f>
        <v>شعله كيخسروي</v>
      </c>
      <c r="S7" s="336">
        <f>payesh!$H$55</f>
        <v>1500000</v>
      </c>
      <c r="T7" s="351" t="str">
        <f>payesh!H64</f>
        <v>1393/11/19</v>
      </c>
      <c r="U7" s="336">
        <f>payesh!$H$56</f>
        <v>1500000</v>
      </c>
      <c r="V7" s="351" t="str">
        <f>payesh!H65</f>
        <v>1394/02/15</v>
      </c>
      <c r="W7" s="336">
        <f>payesh!H78</f>
        <v>0</v>
      </c>
      <c r="X7" s="336">
        <f>payesh!H79</f>
        <v>0</v>
      </c>
      <c r="Y7" s="336" t="str">
        <f>payesh!$H$83</f>
        <v>1394/8/1</v>
      </c>
      <c r="Z7" s="336">
        <f>payesh!$H$84</f>
        <v>82</v>
      </c>
      <c r="AA7" s="336">
        <f>payesh!H86</f>
        <v>185000000</v>
      </c>
      <c r="AB7" s="336">
        <f>payesh!H153</f>
        <v>0</v>
      </c>
      <c r="AC7" s="336">
        <f>payesh!H155</f>
        <v>0</v>
      </c>
      <c r="AD7" s="336">
        <f>payesh!H157</f>
        <v>0</v>
      </c>
      <c r="AE7" s="336">
        <f>payesh!H159</f>
        <v>0</v>
      </c>
      <c r="AF7" s="336">
        <f>payesh!H161</f>
        <v>0</v>
      </c>
      <c r="AG7" s="336">
        <f>payesh!H163</f>
        <v>0</v>
      </c>
      <c r="AH7" s="336">
        <f>payesh!H165</f>
        <v>0</v>
      </c>
      <c r="AI7" s="336">
        <f>payesh!H167</f>
        <v>0</v>
      </c>
      <c r="AJ7" s="336">
        <f>payesh!H169</f>
        <v>0</v>
      </c>
      <c r="AK7" s="339">
        <f>payesh!H171</f>
        <v>0</v>
      </c>
    </row>
    <row r="8" spans="2:38" ht="18.75" thickBot="1" x14ac:dyDescent="0.3">
      <c r="B8" s="340">
        <f>payesh!I7</f>
        <v>5</v>
      </c>
      <c r="C8" s="328" t="str">
        <f>payesh!I3</f>
        <v>کردستان</v>
      </c>
      <c r="D8" s="328" t="str">
        <f>payesh!I4</f>
        <v>سنندج</v>
      </c>
      <c r="E8" s="328" t="str">
        <f>payesh!I5</f>
        <v>قار</v>
      </c>
      <c r="F8" s="328" t="str">
        <f>payesh!I6</f>
        <v xml:space="preserve"> رز</v>
      </c>
      <c r="G8" s="328" t="str">
        <f>payesh!I10</f>
        <v>کلینیک مهر</v>
      </c>
      <c r="H8" s="328" t="str">
        <f>payesh!I13</f>
        <v>ویدا رشیدی</v>
      </c>
      <c r="I8" s="329">
        <f>payesh!I14</f>
        <v>9184592400</v>
      </c>
      <c r="J8" s="328" t="str">
        <f>payesh!I9</f>
        <v>کرده وان اسدی</v>
      </c>
      <c r="K8" s="328" t="str">
        <f>payesh!I18</f>
        <v>پ12</v>
      </c>
      <c r="L8" s="328" t="str">
        <f>payesh!I8</f>
        <v>فعال</v>
      </c>
      <c r="M8" s="328">
        <f>payesh!I46</f>
        <v>30</v>
      </c>
      <c r="N8" s="329">
        <f>payesh!I17</f>
        <v>751868392</v>
      </c>
      <c r="O8" s="329">
        <f>payesh!I16</f>
        <v>0</v>
      </c>
      <c r="P8" s="328" t="str">
        <f>payesh!I19</f>
        <v>مريم قبادي</v>
      </c>
      <c r="Q8" s="328" t="str">
        <f>payesh!I20</f>
        <v>نوش افرين ساعدي</v>
      </c>
      <c r="R8" s="328" t="str">
        <f>payesh!I21</f>
        <v xml:space="preserve">فراست احمد باغبانی </v>
      </c>
      <c r="S8" s="328">
        <f>payesh!$I$55</f>
        <v>1500000</v>
      </c>
      <c r="T8" s="350" t="str">
        <f>payesh!I64</f>
        <v>1394/05/17</v>
      </c>
      <c r="U8" s="328">
        <f>payesh!$I$56</f>
        <v>1500000</v>
      </c>
      <c r="V8" s="350" t="str">
        <f>payesh!I65</f>
        <v>1394/05/17</v>
      </c>
      <c r="W8" s="328">
        <f>payesh!I78</f>
        <v>0</v>
      </c>
      <c r="X8" s="328">
        <f>payesh!I79</f>
        <v>0</v>
      </c>
      <c r="Y8" s="328" t="str">
        <f>payesh!$I$83</f>
        <v>1394/03/27</v>
      </c>
      <c r="Z8" s="328">
        <f>payesh!$I$84</f>
        <v>67</v>
      </c>
      <c r="AA8" s="328">
        <f>payesh!I86</f>
        <v>165000000</v>
      </c>
      <c r="AB8" s="328">
        <f>payesh!I153</f>
        <v>0</v>
      </c>
      <c r="AC8" s="328">
        <f>payesh!I155</f>
        <v>0</v>
      </c>
      <c r="AD8" s="328">
        <f>payesh!I157</f>
        <v>0</v>
      </c>
      <c r="AE8" s="328">
        <f>payesh!I159</f>
        <v>0</v>
      </c>
      <c r="AF8" s="328">
        <f>payesh!I161</f>
        <v>0</v>
      </c>
      <c r="AG8" s="328">
        <f>payesh!I163</f>
        <v>0</v>
      </c>
      <c r="AH8" s="328">
        <f>payesh!I165</f>
        <v>0</v>
      </c>
      <c r="AI8" s="328">
        <f>payesh!I167</f>
        <v>0</v>
      </c>
      <c r="AJ8" s="328">
        <f>payesh!I169</f>
        <v>0</v>
      </c>
      <c r="AK8" s="331">
        <f>payesh!I171</f>
        <v>0</v>
      </c>
    </row>
    <row r="9" spans="2:38" ht="18.75" thickBot="1" x14ac:dyDescent="0.3">
      <c r="B9" s="333">
        <f>payesh!J7</f>
        <v>6</v>
      </c>
      <c r="C9" s="336" t="str">
        <f>payesh!J3</f>
        <v>کردستان</v>
      </c>
      <c r="D9" s="336" t="str">
        <f>payesh!J4</f>
        <v>سنندج</v>
      </c>
      <c r="E9" s="336" t="str">
        <f>payesh!J5</f>
        <v>قار</v>
      </c>
      <c r="F9" s="336" t="str">
        <f>payesh!J6</f>
        <v>امانت</v>
      </c>
      <c r="G9" s="336" t="str">
        <f>payesh!J10</f>
        <v>کلینیک مهر</v>
      </c>
      <c r="H9" s="336" t="str">
        <f>payesh!J13</f>
        <v>آزاده امجدی</v>
      </c>
      <c r="I9" s="337">
        <f>payesh!J14</f>
        <v>9182876104</v>
      </c>
      <c r="J9" s="336" t="str">
        <f>payesh!J9</f>
        <v>کرده وان اسدی</v>
      </c>
      <c r="K9" s="336" t="str">
        <f>payesh!J18</f>
        <v>پ12</v>
      </c>
      <c r="L9" s="336" t="str">
        <f>payesh!J8</f>
        <v>فعال</v>
      </c>
      <c r="M9" s="336">
        <f>payesh!J46</f>
        <v>30</v>
      </c>
      <c r="N9" s="337">
        <f>payesh!J17</f>
        <v>715964340</v>
      </c>
      <c r="O9" s="337">
        <f>payesh!J16</f>
        <v>0</v>
      </c>
      <c r="P9" s="336" t="str">
        <f>payesh!J19</f>
        <v>فرناز گل محمدي</v>
      </c>
      <c r="Q9" s="336" t="str">
        <f>payesh!J20</f>
        <v>سحر رشيدي</v>
      </c>
      <c r="R9" s="336" t="str">
        <f>payesh!J21</f>
        <v>سوما ساعدي</v>
      </c>
      <c r="S9" s="336">
        <f>payesh!$J$55</f>
        <v>1500000</v>
      </c>
      <c r="T9" s="351" t="str">
        <f>payesh!J64</f>
        <v>1393/11/19</v>
      </c>
      <c r="U9" s="336">
        <f>payesh!$J$56</f>
        <v>1500000</v>
      </c>
      <c r="V9" s="351" t="str">
        <f>payesh!J65</f>
        <v>1394/02/15</v>
      </c>
      <c r="W9" s="336">
        <f>payesh!J78</f>
        <v>0</v>
      </c>
      <c r="X9" s="336">
        <f>payesh!J79</f>
        <v>0</v>
      </c>
      <c r="Y9" s="336" t="str">
        <f>payesh!$J$83</f>
        <v>1394/02/08</v>
      </c>
      <c r="Z9" s="336">
        <f>payesh!$J$84</f>
        <v>69</v>
      </c>
      <c r="AA9" s="336">
        <f>payesh!J86</f>
        <v>305000000</v>
      </c>
      <c r="AB9" s="336">
        <f>payesh!J153</f>
        <v>0</v>
      </c>
      <c r="AC9" s="336">
        <f>payesh!J155</f>
        <v>0</v>
      </c>
      <c r="AD9" s="336">
        <f>payesh!J157</f>
        <v>0</v>
      </c>
      <c r="AE9" s="336">
        <f>payesh!J159</f>
        <v>0</v>
      </c>
      <c r="AF9" s="336">
        <f>payesh!J161</f>
        <v>0</v>
      </c>
      <c r="AG9" s="336">
        <f>payesh!J163</f>
        <v>0</v>
      </c>
      <c r="AH9" s="336">
        <f>payesh!J165</f>
        <v>0</v>
      </c>
      <c r="AI9" s="336">
        <f>payesh!J167</f>
        <v>0</v>
      </c>
      <c r="AJ9" s="336">
        <f>payesh!J169</f>
        <v>0</v>
      </c>
      <c r="AK9" s="339">
        <f>payesh!J171</f>
        <v>0</v>
      </c>
    </row>
    <row r="10" spans="2:38" ht="18.75" thickBot="1" x14ac:dyDescent="0.3">
      <c r="B10" s="340">
        <f>payesh!K7</f>
        <v>7</v>
      </c>
      <c r="C10" s="328" t="str">
        <f>payesh!K3</f>
        <v>کردستان</v>
      </c>
      <c r="D10" s="328" t="str">
        <f>payesh!K4</f>
        <v>سنندج</v>
      </c>
      <c r="E10" s="328" t="str">
        <f>payesh!K5</f>
        <v>قار</v>
      </c>
      <c r="F10" s="328" t="str">
        <f>payesh!K6</f>
        <v>ياس</v>
      </c>
      <c r="G10" s="328" t="str">
        <f>payesh!K10</f>
        <v>کلینیک مهر</v>
      </c>
      <c r="H10" s="328" t="str">
        <f>payesh!K13</f>
        <v>آزاده امجدی</v>
      </c>
      <c r="I10" s="329">
        <f>payesh!K14</f>
        <v>9182876104</v>
      </c>
      <c r="J10" s="328" t="str">
        <f>payesh!K9</f>
        <v>کرده وان اسدی</v>
      </c>
      <c r="K10" s="328" t="str">
        <f>payesh!K18</f>
        <v>پ12</v>
      </c>
      <c r="L10" s="328" t="str">
        <f>payesh!K8</f>
        <v>فعال</v>
      </c>
      <c r="M10" s="328">
        <f>payesh!K46</f>
        <v>30</v>
      </c>
      <c r="N10" s="329">
        <f>payesh!K17</f>
        <v>715832289</v>
      </c>
      <c r="O10" s="329">
        <f>payesh!K16</f>
        <v>0</v>
      </c>
      <c r="P10" s="328" t="str">
        <f>payesh!K19</f>
        <v>شايسته لطفي</v>
      </c>
      <c r="Q10" s="328" t="str">
        <f>payesh!K20</f>
        <v>خديجه رشيدي</v>
      </c>
      <c r="R10" s="328" t="str">
        <f>payesh!K21</f>
        <v>نظيره صلواتي</v>
      </c>
      <c r="S10" s="328">
        <f>payesh!$K$55</f>
        <v>1500000</v>
      </c>
      <c r="T10" s="350" t="str">
        <f>payesh!K64</f>
        <v>1393/11/19</v>
      </c>
      <c r="U10" s="328">
        <f>payesh!$K$56</f>
        <v>1500000</v>
      </c>
      <c r="V10" s="350" t="str">
        <f>payesh!K65</f>
        <v>1394/02/15</v>
      </c>
      <c r="W10" s="328">
        <f>payesh!K78</f>
        <v>0</v>
      </c>
      <c r="X10" s="328">
        <f>payesh!K79</f>
        <v>0</v>
      </c>
      <c r="Y10" s="328" t="str">
        <f>payesh!$K$83</f>
        <v>1394/02/08</v>
      </c>
      <c r="Z10" s="328">
        <f>payesh!$K$84</f>
        <v>81</v>
      </c>
      <c r="AA10" s="328">
        <f>payesh!K86</f>
        <v>285000000</v>
      </c>
      <c r="AB10" s="328">
        <f>payesh!K153</f>
        <v>0</v>
      </c>
      <c r="AC10" s="328">
        <f>payesh!K155</f>
        <v>0</v>
      </c>
      <c r="AD10" s="328">
        <f>payesh!K157</f>
        <v>0</v>
      </c>
      <c r="AE10" s="328">
        <f>payesh!K159</f>
        <v>0</v>
      </c>
      <c r="AF10" s="328">
        <f>payesh!K161</f>
        <v>0</v>
      </c>
      <c r="AG10" s="328">
        <f>payesh!K163</f>
        <v>0</v>
      </c>
      <c r="AH10" s="328">
        <f>payesh!K165</f>
        <v>0</v>
      </c>
      <c r="AI10" s="328">
        <f>payesh!K167</f>
        <v>0</v>
      </c>
      <c r="AJ10" s="328">
        <f>payesh!K169</f>
        <v>0</v>
      </c>
      <c r="AK10" s="331">
        <f>payesh!K171</f>
        <v>0</v>
      </c>
    </row>
    <row r="11" spans="2:38" ht="18.75" thickBot="1" x14ac:dyDescent="0.3">
      <c r="B11" s="333">
        <f>payesh!L7</f>
        <v>8</v>
      </c>
      <c r="C11" s="336">
        <f>payesh!L3</f>
        <v>0</v>
      </c>
      <c r="D11" s="336">
        <f>payesh!L4</f>
        <v>0</v>
      </c>
      <c r="E11" s="336">
        <f>payesh!L5</f>
        <v>0</v>
      </c>
      <c r="F11" s="336">
        <f>payesh!L6</f>
        <v>0</v>
      </c>
      <c r="G11" s="336">
        <f>payesh!L10</f>
        <v>0</v>
      </c>
      <c r="H11" s="336">
        <f>payesh!L13</f>
        <v>0</v>
      </c>
      <c r="I11" s="337">
        <f>payesh!L14</f>
        <v>0</v>
      </c>
      <c r="J11" s="336">
        <f>payesh!L9</f>
        <v>0</v>
      </c>
      <c r="K11" s="336">
        <f>payesh!L18</f>
        <v>0</v>
      </c>
      <c r="L11" s="336">
        <f>payesh!L8</f>
        <v>0</v>
      </c>
      <c r="M11" s="336">
        <f>payesh!L46</f>
        <v>0</v>
      </c>
      <c r="N11" s="337">
        <f>payesh!L17</f>
        <v>0</v>
      </c>
      <c r="O11" s="337">
        <f>payesh!L16</f>
        <v>0</v>
      </c>
      <c r="P11" s="336">
        <f>payesh!L19</f>
        <v>0</v>
      </c>
      <c r="Q11" s="336">
        <f>payesh!L20</f>
        <v>0</v>
      </c>
      <c r="R11" s="336">
        <f>payesh!L21</f>
        <v>0</v>
      </c>
      <c r="S11" s="336">
        <f>payesh!$L$55</f>
        <v>0</v>
      </c>
      <c r="T11" s="351">
        <f>payesh!L64</f>
        <v>0</v>
      </c>
      <c r="U11" s="336">
        <f>payesh!$L$56</f>
        <v>0</v>
      </c>
      <c r="V11" s="351">
        <f>payesh!L65</f>
        <v>0</v>
      </c>
      <c r="W11" s="336">
        <f>payesh!L78</f>
        <v>0</v>
      </c>
      <c r="X11" s="336">
        <f>payesh!L79</f>
        <v>0</v>
      </c>
      <c r="Y11" s="336">
        <f>payesh!$L$83</f>
        <v>0</v>
      </c>
      <c r="Z11" s="336">
        <f>payesh!$L$84</f>
        <v>0</v>
      </c>
      <c r="AA11" s="336">
        <f>payesh!L86</f>
        <v>0</v>
      </c>
      <c r="AB11" s="336">
        <f>payesh!L153</f>
        <v>0</v>
      </c>
      <c r="AC11" s="336">
        <f>payesh!L155</f>
        <v>0</v>
      </c>
      <c r="AD11" s="336">
        <f>payesh!L157</f>
        <v>0</v>
      </c>
      <c r="AE11" s="336">
        <f>payesh!L159</f>
        <v>0</v>
      </c>
      <c r="AF11" s="336">
        <f>payesh!L161</f>
        <v>0</v>
      </c>
      <c r="AG11" s="336">
        <f>payesh!L163</f>
        <v>0</v>
      </c>
      <c r="AH11" s="336">
        <f>payesh!L165</f>
        <v>0</v>
      </c>
      <c r="AI11" s="336">
        <f>payesh!L167</f>
        <v>0</v>
      </c>
      <c r="AJ11" s="336">
        <f>payesh!L169</f>
        <v>0</v>
      </c>
      <c r="AK11" s="339">
        <f>payesh!L171</f>
        <v>0</v>
      </c>
    </row>
    <row r="12" spans="2:38" ht="18.75" thickBot="1" x14ac:dyDescent="0.3">
      <c r="B12" s="340">
        <f>payesh!M7</f>
        <v>9</v>
      </c>
      <c r="C12" s="328">
        <f>payesh!M3</f>
        <v>0</v>
      </c>
      <c r="D12" s="328">
        <f>payesh!M4</f>
        <v>0</v>
      </c>
      <c r="E12" s="328">
        <f>payesh!M5</f>
        <v>0</v>
      </c>
      <c r="F12" s="328">
        <f>payesh!M6</f>
        <v>0</v>
      </c>
      <c r="G12" s="328">
        <f>payesh!M10</f>
        <v>0</v>
      </c>
      <c r="H12" s="328">
        <f>payesh!M13</f>
        <v>0</v>
      </c>
      <c r="I12" s="329">
        <f>payesh!M14</f>
        <v>0</v>
      </c>
      <c r="J12" s="328">
        <f>payesh!M9</f>
        <v>0</v>
      </c>
      <c r="K12" s="328">
        <f>payesh!M18</f>
        <v>0</v>
      </c>
      <c r="L12" s="328">
        <f>payesh!M8</f>
        <v>0</v>
      </c>
      <c r="M12" s="328">
        <f>payesh!M46</f>
        <v>0</v>
      </c>
      <c r="N12" s="329">
        <f>payesh!M17</f>
        <v>0</v>
      </c>
      <c r="O12" s="329">
        <f>payesh!M16</f>
        <v>0</v>
      </c>
      <c r="P12" s="328">
        <f>payesh!M19</f>
        <v>0</v>
      </c>
      <c r="Q12" s="328">
        <f>payesh!M20</f>
        <v>0</v>
      </c>
      <c r="R12" s="328">
        <f>payesh!M21</f>
        <v>0</v>
      </c>
      <c r="S12" s="328">
        <f>payesh!$M$55</f>
        <v>0</v>
      </c>
      <c r="T12" s="350">
        <f>payesh!M64</f>
        <v>0</v>
      </c>
      <c r="U12" s="328">
        <f>payesh!$M$56</f>
        <v>0</v>
      </c>
      <c r="V12" s="350">
        <f>payesh!M65</f>
        <v>0</v>
      </c>
      <c r="W12" s="328">
        <f>payesh!M78</f>
        <v>0</v>
      </c>
      <c r="X12" s="328">
        <f>payesh!M79</f>
        <v>0</v>
      </c>
      <c r="Y12" s="328">
        <f>payesh!$M$83</f>
        <v>0</v>
      </c>
      <c r="Z12" s="328">
        <f>payesh!$M$84</f>
        <v>0</v>
      </c>
      <c r="AA12" s="328">
        <f>payesh!M86</f>
        <v>0</v>
      </c>
      <c r="AB12" s="328">
        <f>payesh!M153</f>
        <v>0</v>
      </c>
      <c r="AC12" s="328">
        <f>payesh!M155</f>
        <v>0</v>
      </c>
      <c r="AD12" s="328">
        <f>payesh!M157</f>
        <v>0</v>
      </c>
      <c r="AE12" s="328">
        <f>payesh!M159</f>
        <v>0</v>
      </c>
      <c r="AF12" s="328">
        <f>payesh!M161</f>
        <v>0</v>
      </c>
      <c r="AG12" s="328">
        <f>payesh!M163</f>
        <v>0</v>
      </c>
      <c r="AH12" s="328">
        <f>payesh!M165</f>
        <v>0</v>
      </c>
      <c r="AI12" s="328">
        <f>payesh!M167</f>
        <v>0</v>
      </c>
      <c r="AJ12" s="328">
        <f>payesh!M169</f>
        <v>0</v>
      </c>
      <c r="AK12" s="331">
        <f>payesh!M171</f>
        <v>0</v>
      </c>
    </row>
    <row r="13" spans="2:38" ht="18.75" thickBot="1" x14ac:dyDescent="0.3">
      <c r="B13" s="333">
        <f>payesh!N7</f>
        <v>10</v>
      </c>
      <c r="C13" s="336">
        <f>payesh!N3</f>
        <v>0</v>
      </c>
      <c r="D13" s="336">
        <f>payesh!N4</f>
        <v>0</v>
      </c>
      <c r="E13" s="336">
        <f>payesh!N5</f>
        <v>0</v>
      </c>
      <c r="F13" s="336">
        <f>payesh!N6</f>
        <v>0</v>
      </c>
      <c r="G13" s="336">
        <f>payesh!N10</f>
        <v>0</v>
      </c>
      <c r="H13" s="336">
        <f>payesh!N13</f>
        <v>0</v>
      </c>
      <c r="I13" s="337">
        <f>payesh!N14</f>
        <v>0</v>
      </c>
      <c r="J13" s="336">
        <f>payesh!N9</f>
        <v>0</v>
      </c>
      <c r="K13" s="336">
        <f>payesh!N18</f>
        <v>0</v>
      </c>
      <c r="L13" s="336">
        <f>payesh!N8</f>
        <v>0</v>
      </c>
      <c r="M13" s="336">
        <f>payesh!N46</f>
        <v>0</v>
      </c>
      <c r="N13" s="337">
        <f>payesh!N17</f>
        <v>0</v>
      </c>
      <c r="O13" s="337">
        <f>payesh!N16</f>
        <v>0</v>
      </c>
      <c r="P13" s="336">
        <f>payesh!N19</f>
        <v>0</v>
      </c>
      <c r="Q13" s="336">
        <f>payesh!N20</f>
        <v>0</v>
      </c>
      <c r="R13" s="336">
        <f>payesh!N21</f>
        <v>0</v>
      </c>
      <c r="S13" s="336">
        <f>payesh!$N$55</f>
        <v>0</v>
      </c>
      <c r="T13" s="351">
        <f>payesh!N64</f>
        <v>0</v>
      </c>
      <c r="U13" s="336">
        <f>payesh!$N$56</f>
        <v>0</v>
      </c>
      <c r="V13" s="351">
        <f>payesh!N65</f>
        <v>0</v>
      </c>
      <c r="W13" s="336">
        <f>payesh!N78</f>
        <v>0</v>
      </c>
      <c r="X13" s="336">
        <f>payesh!N79</f>
        <v>0</v>
      </c>
      <c r="Y13" s="336">
        <f>payesh!$N$83</f>
        <v>0</v>
      </c>
      <c r="Z13" s="336">
        <f>payesh!$N$84</f>
        <v>0</v>
      </c>
      <c r="AA13" s="336">
        <f>payesh!N86</f>
        <v>0</v>
      </c>
      <c r="AB13" s="336">
        <f>payesh!N153</f>
        <v>0</v>
      </c>
      <c r="AC13" s="336">
        <f>payesh!N155</f>
        <v>0</v>
      </c>
      <c r="AD13" s="336">
        <f>payesh!N157</f>
        <v>0</v>
      </c>
      <c r="AE13" s="336">
        <f>payesh!N159</f>
        <v>0</v>
      </c>
      <c r="AF13" s="336">
        <f>payesh!N161</f>
        <v>0</v>
      </c>
      <c r="AG13" s="336">
        <f>payesh!N163</f>
        <v>0</v>
      </c>
      <c r="AH13" s="336">
        <f>payesh!N165</f>
        <v>0</v>
      </c>
      <c r="AI13" s="336">
        <f>payesh!N167</f>
        <v>0</v>
      </c>
      <c r="AJ13" s="336">
        <f>payesh!N169</f>
        <v>0</v>
      </c>
      <c r="AK13" s="339">
        <f>payesh!N171</f>
        <v>0</v>
      </c>
    </row>
  </sheetData>
  <sheetProtection algorithmName="SHA-512" hashValue="YqObKpPdUwbGepqat6CHrC3JKpp41Q08l30XDTlXIZRLGTm+DV9tonMcBQk1qo6dSpQTqjU0OtOloeXLZ+O7RA==" saltValue="WtAEbcuDje/qIU/E7h5Ikw=="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3"/>
  <sheetViews>
    <sheetView rightToLeft="1" workbookViewId="0">
      <selection activeCell="I12" sqref="I12"/>
    </sheetView>
  </sheetViews>
  <sheetFormatPr defaultColWidth="9.140625" defaultRowHeight="18.75" x14ac:dyDescent="0.25"/>
  <cols>
    <col min="1" max="1" width="1.85546875" style="72" customWidth="1"/>
    <col min="2" max="2" width="16.28515625" style="86" customWidth="1"/>
    <col min="3" max="3" width="8.5703125" style="86" customWidth="1"/>
    <col min="4" max="4" width="44.28515625" style="88" customWidth="1"/>
    <col min="5" max="5" width="14.5703125" style="113" customWidth="1"/>
    <col min="6" max="16384" width="9.140625" style="72"/>
  </cols>
  <sheetData>
    <row r="1" spans="2:5" ht="19.5" thickBot="1" x14ac:dyDescent="0.3"/>
    <row r="2" spans="2:5" ht="33.75" customHeight="1" thickBot="1" x14ac:dyDescent="0.3">
      <c r="B2" s="567" t="s">
        <v>89</v>
      </c>
      <c r="C2" s="568"/>
      <c r="D2" s="569"/>
      <c r="E2" s="87" t="s">
        <v>90</v>
      </c>
    </row>
    <row r="3" spans="2:5" ht="15" customHeight="1" x14ac:dyDescent="0.25">
      <c r="B3" s="570" t="s">
        <v>14</v>
      </c>
      <c r="C3" s="571"/>
      <c r="D3" s="89" t="s">
        <v>91</v>
      </c>
      <c r="E3" s="114">
        <f>SUMPRODUCT((payesh!E10:N10&lt;&gt;"")/COUNTIF(payesh!E10:N10,payesh!E10:N10&amp;""))</f>
        <v>0.99999999999999978</v>
      </c>
    </row>
    <row r="4" spans="2:5" ht="15" customHeight="1" x14ac:dyDescent="0.25">
      <c r="B4" s="572"/>
      <c r="C4" s="573"/>
      <c r="D4" s="90" t="s">
        <v>92</v>
      </c>
      <c r="E4" s="115">
        <f>SUMPRODUCT((payesh!E11:N11&lt;&gt;"")/COUNTIF(payesh!E11:N11,payesh!E11:N11&amp;""))</f>
        <v>0.99999999999999978</v>
      </c>
    </row>
    <row r="5" spans="2:5" ht="15" customHeight="1" thickBot="1" x14ac:dyDescent="0.3">
      <c r="B5" s="574"/>
      <c r="C5" s="575"/>
      <c r="D5" s="91" t="s">
        <v>175</v>
      </c>
      <c r="E5" s="116">
        <f>SUMPRODUCT((payesh!E13:N13&lt;&gt;"")/COUNTIF(payesh!E13:N13,payesh!E13:N13&amp;""))</f>
        <v>1.9999999999999998</v>
      </c>
    </row>
    <row r="6" spans="2:5" ht="15" customHeight="1" x14ac:dyDescent="0.25">
      <c r="B6" s="576" t="s">
        <v>11</v>
      </c>
      <c r="C6" s="577"/>
      <c r="D6" s="92" t="s">
        <v>176</v>
      </c>
      <c r="E6" s="117">
        <f>SUMPRODUCT((payesh!E4:N4&lt;&gt;"")/COUNTIF(payesh!E4:N4,payesh!E4:N4&amp;""))</f>
        <v>0.99999999999999978</v>
      </c>
    </row>
    <row r="7" spans="2:5" ht="15" customHeight="1" x14ac:dyDescent="0.25">
      <c r="B7" s="578"/>
      <c r="C7" s="579"/>
      <c r="D7" s="92" t="s">
        <v>93</v>
      </c>
      <c r="E7" s="118">
        <f>SUMPRODUCT((payesh!E5:N5&lt;&gt;"")/COUNTIF(payesh!E5:N5,payesh!E5:N5&amp;""))</f>
        <v>3</v>
      </c>
    </row>
    <row r="8" spans="2:5" ht="15" customHeight="1" x14ac:dyDescent="0.25">
      <c r="B8" s="578"/>
      <c r="C8" s="579"/>
      <c r="D8" s="93" t="s">
        <v>177</v>
      </c>
      <c r="E8" s="118">
        <v>0</v>
      </c>
    </row>
    <row r="9" spans="2:5" ht="15" customHeight="1" x14ac:dyDescent="0.25">
      <c r="B9" s="578"/>
      <c r="C9" s="579"/>
      <c r="D9" s="93" t="s">
        <v>94</v>
      </c>
      <c r="E9" s="118">
        <f>COUNT(payesh!E22:N22)</f>
        <v>7</v>
      </c>
    </row>
    <row r="10" spans="2:5" ht="15" customHeight="1" x14ac:dyDescent="0.25">
      <c r="B10" s="578"/>
      <c r="C10" s="579"/>
      <c r="D10" s="93" t="s">
        <v>178</v>
      </c>
      <c r="E10" s="118">
        <f>SUM(payesh!E22:N22)</f>
        <v>141</v>
      </c>
    </row>
    <row r="11" spans="2:5" ht="15" customHeight="1" x14ac:dyDescent="0.25">
      <c r="B11" s="578"/>
      <c r="C11" s="579"/>
      <c r="D11" s="93" t="s">
        <v>95</v>
      </c>
      <c r="E11" s="118">
        <f>E10/E9</f>
        <v>20.142857142857142</v>
      </c>
    </row>
    <row r="12" spans="2:5" ht="15" customHeight="1" x14ac:dyDescent="0.25">
      <c r="B12" s="578"/>
      <c r="C12" s="579"/>
      <c r="D12" s="93" t="s">
        <v>1</v>
      </c>
      <c r="E12" s="118">
        <f>SUM(payesh!E23:N23)</f>
        <v>141</v>
      </c>
    </row>
    <row r="13" spans="2:5" ht="15" customHeight="1" x14ac:dyDescent="0.25">
      <c r="B13" s="578"/>
      <c r="C13" s="579"/>
      <c r="D13" s="93" t="s">
        <v>3</v>
      </c>
      <c r="E13" s="119">
        <f>(E12*100)/E10</f>
        <v>100</v>
      </c>
    </row>
    <row r="14" spans="2:5" ht="15" customHeight="1" x14ac:dyDescent="0.25">
      <c r="B14" s="578"/>
      <c r="C14" s="579"/>
      <c r="D14" s="93" t="s">
        <v>96</v>
      </c>
      <c r="E14" s="118">
        <f>SUM(payesh!E26:N26)</f>
        <v>5</v>
      </c>
    </row>
    <row r="15" spans="2:5" ht="16.5" customHeight="1" x14ac:dyDescent="0.25">
      <c r="B15" s="578"/>
      <c r="C15" s="579"/>
      <c r="D15" s="93" t="s">
        <v>179</v>
      </c>
      <c r="E15" s="119">
        <f>(E14*100)/E12</f>
        <v>3.5460992907801416</v>
      </c>
    </row>
    <row r="16" spans="2:5" ht="15" customHeight="1" thickBot="1" x14ac:dyDescent="0.3">
      <c r="B16" s="580"/>
      <c r="C16" s="581"/>
      <c r="D16" s="93" t="s">
        <v>180</v>
      </c>
      <c r="E16" s="120">
        <f>AVERAGE(payesh!E29:N29)</f>
        <v>35.714285714285715</v>
      </c>
    </row>
    <row r="17" spans="2:5" ht="15.75" customHeight="1" x14ac:dyDescent="0.25">
      <c r="B17" s="582" t="s">
        <v>181</v>
      </c>
      <c r="C17" s="583"/>
      <c r="D17" s="94" t="s">
        <v>182</v>
      </c>
      <c r="E17" s="121">
        <f>SUM(payesh!E62:N62)/1000</f>
        <v>592040.772</v>
      </c>
    </row>
    <row r="18" spans="2:5" ht="14.25" customHeight="1" x14ac:dyDescent="0.25">
      <c r="B18" s="584"/>
      <c r="C18" s="585"/>
      <c r="D18" s="95" t="s">
        <v>183</v>
      </c>
      <c r="E18" s="122">
        <f>SUM(payesh!E68:N68)</f>
        <v>218</v>
      </c>
    </row>
    <row r="19" spans="2:5" ht="14.25" customHeight="1" x14ac:dyDescent="0.25">
      <c r="B19" s="584"/>
      <c r="C19" s="585"/>
      <c r="D19" s="95" t="s">
        <v>184</v>
      </c>
      <c r="E19" s="122">
        <f>SUM(payesh!E67:N67)/1000</f>
        <v>1287310</v>
      </c>
    </row>
    <row r="20" spans="2:5" ht="14.25" customHeight="1" x14ac:dyDescent="0.25">
      <c r="B20" s="584"/>
      <c r="C20" s="585"/>
      <c r="D20" s="95" t="s">
        <v>97</v>
      </c>
      <c r="E20" s="122">
        <f>E19/E18</f>
        <v>5905.0917431192656</v>
      </c>
    </row>
    <row r="21" spans="2:5" ht="14.25" customHeight="1" thickBot="1" x14ac:dyDescent="0.3">
      <c r="B21" s="586"/>
      <c r="C21" s="585"/>
      <c r="D21" s="96" t="s">
        <v>185</v>
      </c>
      <c r="E21" s="322">
        <f>AVERAGE(payesh!E74:N74)</f>
        <v>100</v>
      </c>
    </row>
    <row r="22" spans="2:5" ht="14.25" customHeight="1" x14ac:dyDescent="0.25">
      <c r="B22" s="587" t="s">
        <v>98</v>
      </c>
      <c r="C22" s="591"/>
      <c r="D22" s="97" t="s">
        <v>99</v>
      </c>
      <c r="E22" s="123">
        <f>SUMPRODUCT((payesh!E80:N80&lt;&gt;"")/COUNTIF(payesh!E80:N80,payesh!E80:N80&amp;""))</f>
        <v>3</v>
      </c>
    </row>
    <row r="23" spans="2:5" ht="14.25" customHeight="1" thickBot="1" x14ac:dyDescent="0.3">
      <c r="B23" s="588"/>
      <c r="C23" s="592"/>
      <c r="D23" s="98" t="s">
        <v>100</v>
      </c>
      <c r="E23" s="323">
        <f>COUNT(payesh!E84:N84)</f>
        <v>7</v>
      </c>
    </row>
    <row r="24" spans="2:5" ht="14.25" customHeight="1" x14ac:dyDescent="0.25">
      <c r="B24" s="589"/>
      <c r="C24" s="593" t="s">
        <v>186</v>
      </c>
      <c r="D24" s="99" t="s">
        <v>187</v>
      </c>
      <c r="E24" s="321">
        <f>COUNT(payesh!E86:N86)</f>
        <v>7</v>
      </c>
    </row>
    <row r="25" spans="2:5" ht="14.25" customHeight="1" x14ac:dyDescent="0.25">
      <c r="B25" s="589"/>
      <c r="C25" s="593"/>
      <c r="D25" s="100" t="s">
        <v>188</v>
      </c>
      <c r="E25" s="124">
        <f>SUM(payesh!E86:N86)/1000</f>
        <v>1600000</v>
      </c>
    </row>
    <row r="26" spans="2:5" ht="14.25" customHeight="1" x14ac:dyDescent="0.25">
      <c r="B26" s="589"/>
      <c r="C26" s="593"/>
      <c r="D26" s="100" t="s">
        <v>101</v>
      </c>
      <c r="E26" s="124" t="e">
        <f>AVERAGE(payesh!E89:N89)</f>
        <v>#DIV/0!</v>
      </c>
    </row>
    <row r="27" spans="2:5" ht="28.5" x14ac:dyDescent="0.25">
      <c r="B27" s="589"/>
      <c r="C27" s="593" t="s">
        <v>186</v>
      </c>
      <c r="D27" s="100" t="s">
        <v>102</v>
      </c>
      <c r="E27" s="124" t="e">
        <f>AVERAGE(payesh!E90:N90)</f>
        <v>#DIV/0!</v>
      </c>
    </row>
    <row r="28" spans="2:5" x14ac:dyDescent="0.25">
      <c r="B28" s="589"/>
      <c r="C28" s="593"/>
      <c r="D28" s="100" t="s">
        <v>103</v>
      </c>
      <c r="E28" s="124">
        <f>SUM(payesh!E91:N91)</f>
        <v>136</v>
      </c>
    </row>
    <row r="29" spans="2:5" ht="18" x14ac:dyDescent="0.25">
      <c r="B29" s="589"/>
      <c r="C29" s="593"/>
      <c r="D29" s="100" t="s">
        <v>104</v>
      </c>
      <c r="E29" s="125">
        <f>E25/E28</f>
        <v>11764.705882352941</v>
      </c>
    </row>
    <row r="30" spans="2:5" ht="19.5" thickBot="1" x14ac:dyDescent="0.3">
      <c r="B30" s="589"/>
      <c r="C30" s="594"/>
      <c r="D30" s="101" t="s">
        <v>105</v>
      </c>
      <c r="E30" s="126" t="e">
        <f>AVERAGE(payesh!E136:N136)</f>
        <v>#DIV/0!</v>
      </c>
    </row>
    <row r="31" spans="2:5" ht="18" customHeight="1" x14ac:dyDescent="0.25">
      <c r="B31" s="589"/>
      <c r="C31" s="595" t="s">
        <v>189</v>
      </c>
      <c r="D31" s="99" t="s">
        <v>190</v>
      </c>
      <c r="E31" s="123">
        <f>COUNT(payesh!E99:N99)</f>
        <v>0</v>
      </c>
    </row>
    <row r="32" spans="2:5" x14ac:dyDescent="0.25">
      <c r="B32" s="589"/>
      <c r="C32" s="593"/>
      <c r="D32" s="100" t="s">
        <v>188</v>
      </c>
      <c r="E32" s="124">
        <f>SUM(payesh!E99:N99)/1000</f>
        <v>0</v>
      </c>
    </row>
    <row r="33" spans="2:13" x14ac:dyDescent="0.25">
      <c r="B33" s="589"/>
      <c r="C33" s="593"/>
      <c r="D33" s="100" t="s">
        <v>191</v>
      </c>
      <c r="E33" s="124" t="e">
        <f>AVERAGE(payesh!E102:N102)</f>
        <v>#DIV/0!</v>
      </c>
    </row>
    <row r="34" spans="2:13" ht="28.5" x14ac:dyDescent="0.25">
      <c r="B34" s="589"/>
      <c r="C34" s="593" t="s">
        <v>189</v>
      </c>
      <c r="D34" s="100" t="s">
        <v>102</v>
      </c>
      <c r="E34" s="124" t="e">
        <f>AVERAGE(payesh!E103:N103)</f>
        <v>#DIV/0!</v>
      </c>
    </row>
    <row r="35" spans="2:13" x14ac:dyDescent="0.25">
      <c r="B35" s="589"/>
      <c r="C35" s="593"/>
      <c r="D35" s="100" t="s">
        <v>192</v>
      </c>
      <c r="E35" s="124">
        <f>SUM(payesh!E104:N104)</f>
        <v>0</v>
      </c>
      <c r="M35" s="127"/>
    </row>
    <row r="36" spans="2:13" ht="18" x14ac:dyDescent="0.25">
      <c r="B36" s="589"/>
      <c r="C36" s="593"/>
      <c r="D36" s="100" t="s">
        <v>193</v>
      </c>
      <c r="E36" s="125" t="e">
        <f>E32/E35</f>
        <v>#DIV/0!</v>
      </c>
    </row>
    <row r="37" spans="2:13" ht="19.5" thickBot="1" x14ac:dyDescent="0.3">
      <c r="B37" s="589"/>
      <c r="C37" s="594"/>
      <c r="D37" s="102" t="s">
        <v>105</v>
      </c>
      <c r="E37" s="126" t="e">
        <f>AVERAGE(payesh!E140:N140)</f>
        <v>#DIV/0!</v>
      </c>
    </row>
    <row r="38" spans="2:13" ht="28.5" x14ac:dyDescent="0.25">
      <c r="B38" s="589"/>
      <c r="C38" s="595" t="s">
        <v>194</v>
      </c>
      <c r="D38" s="103" t="s">
        <v>195</v>
      </c>
      <c r="E38" s="128">
        <f>COUNT(payesh!E112:N112,payesh!E126:N126)</f>
        <v>0</v>
      </c>
    </row>
    <row r="39" spans="2:13" x14ac:dyDescent="0.25">
      <c r="B39" s="589"/>
      <c r="C39" s="593"/>
      <c r="D39" s="100" t="s">
        <v>188</v>
      </c>
      <c r="E39" s="124">
        <f>SUM(payesh!E112:N112,payesh!E126:N126)/1000</f>
        <v>0</v>
      </c>
    </row>
    <row r="40" spans="2:13" ht="28.5" x14ac:dyDescent="0.25">
      <c r="B40" s="589"/>
      <c r="C40" s="593"/>
      <c r="D40" s="100" t="s">
        <v>196</v>
      </c>
      <c r="E40" s="124" t="e">
        <f>AVERAGE(payesh!E115:N115,payesh!E129:N129)</f>
        <v>#DIV/0!</v>
      </c>
    </row>
    <row r="41" spans="2:13" ht="28.5" x14ac:dyDescent="0.25">
      <c r="B41" s="589"/>
      <c r="C41" s="593" t="s">
        <v>194</v>
      </c>
      <c r="D41" s="100" t="s">
        <v>102</v>
      </c>
      <c r="E41" s="124" t="e">
        <f>AVERAGE(payesh!E116:N116,payesh!E129:N129)</f>
        <v>#DIV/0!</v>
      </c>
    </row>
    <row r="42" spans="2:13" x14ac:dyDescent="0.25">
      <c r="B42" s="589"/>
      <c r="C42" s="593"/>
      <c r="D42" s="100" t="s">
        <v>197</v>
      </c>
      <c r="E42" s="124">
        <f>SUM(payesh!E117:N117,payesh!E130:N130)</f>
        <v>0</v>
      </c>
    </row>
    <row r="43" spans="2:13" x14ac:dyDescent="0.25">
      <c r="B43" s="589"/>
      <c r="C43" s="593"/>
      <c r="D43" s="100" t="s">
        <v>198</v>
      </c>
      <c r="E43" s="124" t="e">
        <f>E39/E42</f>
        <v>#DIV/0!</v>
      </c>
    </row>
    <row r="44" spans="2:13" ht="19.5" thickBot="1" x14ac:dyDescent="0.3">
      <c r="B44" s="589"/>
      <c r="C44" s="594"/>
      <c r="D44" s="102" t="s">
        <v>105</v>
      </c>
      <c r="E44" s="126" t="e">
        <f>AVERAGE(payesh!E144:N144)</f>
        <v>#DIV/0!</v>
      </c>
    </row>
    <row r="45" spans="2:13" x14ac:dyDescent="0.25">
      <c r="B45" s="589"/>
      <c r="C45" s="596" t="s">
        <v>199</v>
      </c>
      <c r="D45" s="104" t="s">
        <v>200</v>
      </c>
      <c r="E45" s="128">
        <f>E39+E32+E25</f>
        <v>1600000</v>
      </c>
    </row>
    <row r="46" spans="2:13" ht="19.5" thickBot="1" x14ac:dyDescent="0.3">
      <c r="B46" s="590"/>
      <c r="C46" s="597"/>
      <c r="D46" s="105" t="s">
        <v>105</v>
      </c>
      <c r="E46" s="126" t="e">
        <f>AVERAGE(E44:E44,E37,E30)</f>
        <v>#DIV/0!</v>
      </c>
    </row>
    <row r="47" spans="2:13" ht="18.75" customHeight="1" x14ac:dyDescent="0.25">
      <c r="B47" s="555" t="s">
        <v>201</v>
      </c>
      <c r="C47" s="556"/>
      <c r="D47" s="106" t="s">
        <v>202</v>
      </c>
      <c r="E47" s="129">
        <f>COUNTIF(payesh!E8:N8,"غیرفعال")</f>
        <v>0</v>
      </c>
    </row>
    <row r="48" spans="2:13" x14ac:dyDescent="0.25">
      <c r="B48" s="557"/>
      <c r="C48" s="558"/>
      <c r="D48" s="107" t="s">
        <v>203</v>
      </c>
      <c r="E48" s="130">
        <f>SUMIF(payesh!E8:N8,"غیرفعال",payesh!E22:N22)</f>
        <v>0</v>
      </c>
    </row>
    <row r="49" spans="2:5" x14ac:dyDescent="0.25">
      <c r="B49" s="557"/>
      <c r="C49" s="558"/>
      <c r="D49" s="107" t="s">
        <v>204</v>
      </c>
      <c r="E49" s="130">
        <f>SUMIF(payesh!E8:N8,"غیرفعال",payesh!E62:N62)/1000</f>
        <v>0</v>
      </c>
    </row>
    <row r="50" spans="2:5" x14ac:dyDescent="0.25">
      <c r="B50" s="557"/>
      <c r="C50" s="558"/>
      <c r="D50" s="107" t="s">
        <v>205</v>
      </c>
      <c r="E50" s="130">
        <f>SUMIF(payesh!E8:N8,"غیرفعال",payesh!E68:N68)</f>
        <v>0</v>
      </c>
    </row>
    <row r="51" spans="2:5" x14ac:dyDescent="0.25">
      <c r="B51" s="557"/>
      <c r="C51" s="558"/>
      <c r="D51" s="107" t="s">
        <v>206</v>
      </c>
      <c r="E51" s="130">
        <f>SUMIF(payesh!E8:N8,"غیرفعال",payesh!E67:N67)/1000</f>
        <v>0</v>
      </c>
    </row>
    <row r="52" spans="2:5" x14ac:dyDescent="0.25">
      <c r="B52" s="557"/>
      <c r="C52" s="558"/>
      <c r="D52" s="107" t="s">
        <v>207</v>
      </c>
      <c r="E52" s="130">
        <f>SUMIF(payesh!E8:N8,"غیرفعال",payesh!E82:N82)/1000</f>
        <v>0</v>
      </c>
    </row>
    <row r="53" spans="2:5" ht="19.5" thickBot="1" x14ac:dyDescent="0.3">
      <c r="B53" s="559"/>
      <c r="C53" s="560"/>
      <c r="D53" s="108" t="s">
        <v>105</v>
      </c>
      <c r="E53" s="131" t="e">
        <f>AVERAGEIF(payesh!E8:N8,"غیرفعال",payesh!E136:N136)</f>
        <v>#DIV/0!</v>
      </c>
    </row>
    <row r="54" spans="2:5" x14ac:dyDescent="0.25">
      <c r="B54" s="561" t="s">
        <v>208</v>
      </c>
      <c r="C54" s="562"/>
      <c r="D54" s="109" t="s">
        <v>209</v>
      </c>
      <c r="E54" s="132"/>
    </row>
    <row r="55" spans="2:5" x14ac:dyDescent="0.25">
      <c r="B55" s="563"/>
      <c r="C55" s="564"/>
      <c r="D55" s="110" t="s">
        <v>210</v>
      </c>
      <c r="E55" s="133"/>
    </row>
    <row r="56" spans="2:5" x14ac:dyDescent="0.25">
      <c r="B56" s="563"/>
      <c r="C56" s="564"/>
      <c r="D56" s="110" t="s">
        <v>211</v>
      </c>
      <c r="E56" s="133"/>
    </row>
    <row r="57" spans="2:5" x14ac:dyDescent="0.25">
      <c r="B57" s="563"/>
      <c r="C57" s="564"/>
      <c r="D57" s="111" t="s">
        <v>212</v>
      </c>
      <c r="E57" s="133"/>
    </row>
    <row r="58" spans="2:5" x14ac:dyDescent="0.25">
      <c r="B58" s="563"/>
      <c r="C58" s="564"/>
      <c r="D58" s="111" t="s">
        <v>213</v>
      </c>
      <c r="E58" s="133"/>
    </row>
    <row r="59" spans="2:5" x14ac:dyDescent="0.25">
      <c r="B59" s="563"/>
      <c r="C59" s="564"/>
      <c r="D59" s="111" t="s">
        <v>214</v>
      </c>
      <c r="E59" s="133"/>
    </row>
    <row r="60" spans="2:5" x14ac:dyDescent="0.25">
      <c r="B60" s="563"/>
      <c r="C60" s="564"/>
      <c r="D60" s="110" t="s">
        <v>215</v>
      </c>
      <c r="E60" s="133"/>
    </row>
    <row r="61" spans="2:5" x14ac:dyDescent="0.25">
      <c r="B61" s="563"/>
      <c r="C61" s="564"/>
      <c r="D61" s="110" t="s">
        <v>216</v>
      </c>
      <c r="E61" s="133"/>
    </row>
    <row r="62" spans="2:5" x14ac:dyDescent="0.25">
      <c r="B62" s="563"/>
      <c r="C62" s="564"/>
      <c r="D62" s="110" t="s">
        <v>217</v>
      </c>
      <c r="E62" s="133"/>
    </row>
    <row r="63" spans="2:5" ht="19.5" thickBot="1" x14ac:dyDescent="0.3">
      <c r="B63" s="565"/>
      <c r="C63" s="566"/>
      <c r="D63" s="112" t="s">
        <v>218</v>
      </c>
      <c r="E63" s="134"/>
    </row>
  </sheetData>
  <sheetProtection algorithmName="SHA-512" hashValue="TZxOa3cKm5ipjmkcjSjrGdORnSEZeFHYn0rehiIrKeSUN0N+GhaH30ZuHaTWnnZyWx63Xa5MAZsPm0tWUyOc7A==" saltValue="jZGUutaMO8MEif6mZjdNGw=="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1"/>
  <sheetViews>
    <sheetView rightToLeft="1" tabSelected="1" topLeftCell="A13" workbookViewId="0">
      <selection activeCell="Q36" sqref="Q36"/>
    </sheetView>
  </sheetViews>
  <sheetFormatPr defaultRowHeight="17.25" x14ac:dyDescent="0.25"/>
  <cols>
    <col min="1" max="1" width="2.42578125" style="72" customWidth="1"/>
    <col min="2" max="2" width="11.85546875" style="72" customWidth="1"/>
    <col min="3" max="3" width="13" style="72" customWidth="1"/>
    <col min="4" max="5" width="9.140625" style="72"/>
    <col min="6" max="6" width="18.7109375" style="72" customWidth="1"/>
    <col min="7" max="9" width="9.140625" style="72"/>
    <col min="10" max="10" width="17.85546875" style="72" customWidth="1"/>
    <col min="11" max="11" width="13.85546875" style="72" customWidth="1"/>
    <col min="12" max="14" width="9.140625" style="72"/>
    <col min="15" max="15" width="15.140625" style="72" customWidth="1"/>
    <col min="16" max="16" width="14" style="72" customWidth="1"/>
    <col min="17" max="17" width="17" style="72" customWidth="1"/>
    <col min="18" max="19" width="15.7109375" style="72" customWidth="1"/>
    <col min="20" max="20" width="12.28515625" style="72" customWidth="1"/>
    <col min="21" max="16384" width="9.140625" style="72"/>
  </cols>
  <sheetData>
    <row r="2" spans="2:20" ht="18" thickBot="1" x14ac:dyDescent="0.3"/>
    <row r="3" spans="2:20" ht="19.5" thickBot="1" x14ac:dyDescent="0.3">
      <c r="B3" s="388" t="s">
        <v>71</v>
      </c>
      <c r="C3" s="389" t="s">
        <v>33</v>
      </c>
      <c r="D3" s="390" t="s">
        <v>202</v>
      </c>
      <c r="F3" s="147" t="s">
        <v>89</v>
      </c>
      <c r="G3" s="148" t="s">
        <v>202</v>
      </c>
    </row>
    <row r="4" spans="2:20" ht="18.75" thickBot="1" x14ac:dyDescent="0.3">
      <c r="B4" s="154">
        <v>1</v>
      </c>
      <c r="C4" s="155" t="s">
        <v>487</v>
      </c>
      <c r="D4" s="145">
        <f>COUNTIF(payesh!$E$5:$N$5,"سراب قامیش")</f>
        <v>2</v>
      </c>
      <c r="F4" s="149" t="s">
        <v>236</v>
      </c>
      <c r="G4" s="150">
        <f>COUNTIF($D$4:$D$15,"1")</f>
        <v>1</v>
      </c>
      <c r="I4" s="399" t="s">
        <v>71</v>
      </c>
      <c r="J4" s="400" t="s">
        <v>10</v>
      </c>
      <c r="K4" s="401" t="s">
        <v>416</v>
      </c>
      <c r="L4" s="402" t="s">
        <v>417</v>
      </c>
      <c r="N4" s="399" t="s">
        <v>71</v>
      </c>
      <c r="O4" s="400" t="s">
        <v>219</v>
      </c>
      <c r="P4" s="400" t="s">
        <v>416</v>
      </c>
      <c r="Q4" s="402" t="s">
        <v>202</v>
      </c>
    </row>
    <row r="5" spans="2:20" ht="18" x14ac:dyDescent="0.25">
      <c r="B5" s="146">
        <v>2</v>
      </c>
      <c r="C5" s="153" t="s">
        <v>488</v>
      </c>
      <c r="D5" s="144">
        <f>COUNTIF(payesh!$E$5:$N$5,"عیسی آباد")</f>
        <v>1</v>
      </c>
      <c r="F5" s="137" t="s">
        <v>237</v>
      </c>
      <c r="G5" s="151">
        <f>COUNTIF($D$4:$D$15,"2")</f>
        <v>1</v>
      </c>
      <c r="I5" s="403">
        <v>1</v>
      </c>
      <c r="J5" s="404" t="s">
        <v>441</v>
      </c>
      <c r="K5" s="471">
        <v>9182876104</v>
      </c>
      <c r="L5" s="150">
        <f>COUNTIF(payesh!$E$13:$N$13,"آزاده امجدی")</f>
        <v>3</v>
      </c>
      <c r="N5" s="403">
        <v>1</v>
      </c>
      <c r="O5" s="404" t="s">
        <v>489</v>
      </c>
      <c r="P5" s="471">
        <v>9184592400</v>
      </c>
      <c r="Q5" s="150">
        <f>COUNTIF(payesh!$E$11:$N$11,"ویدا رشیدی")</f>
        <v>7</v>
      </c>
    </row>
    <row r="6" spans="2:20" ht="18" x14ac:dyDescent="0.25">
      <c r="B6" s="146">
        <v>3</v>
      </c>
      <c r="C6" s="153" t="s">
        <v>430</v>
      </c>
      <c r="D6" s="144">
        <f>COUNTIF(payesh!$E$5:$N$5,"قار")</f>
        <v>4</v>
      </c>
      <c r="F6" s="137" t="s">
        <v>238</v>
      </c>
      <c r="G6" s="151">
        <f>COUNTIF($D$4:$D$15,"3")</f>
        <v>0</v>
      </c>
      <c r="I6" s="405">
        <v>2</v>
      </c>
      <c r="J6" s="406" t="s">
        <v>489</v>
      </c>
      <c r="K6" s="472">
        <v>9184592400</v>
      </c>
      <c r="L6" s="151">
        <f>COUNTIF(payesh!$E$13:$N$13,"ویدا رشیدی")</f>
        <v>4</v>
      </c>
      <c r="N6" s="405">
        <v>2</v>
      </c>
      <c r="O6" s="406"/>
      <c r="P6" s="472"/>
      <c r="Q6" s="151">
        <f>COUNTIF(payesh!$E$11:$N$11,"نام")</f>
        <v>0</v>
      </c>
    </row>
    <row r="7" spans="2:20" ht="18" x14ac:dyDescent="0.25">
      <c r="B7" s="146">
        <v>4</v>
      </c>
      <c r="C7" s="153"/>
      <c r="D7" s="144">
        <f>COUNTIF(payesh!$E$5:$N$5,"نام روستا")</f>
        <v>0</v>
      </c>
      <c r="F7" s="137" t="s">
        <v>239</v>
      </c>
      <c r="G7" s="151">
        <f>COUNTIF($D$4:$D$15,"4")</f>
        <v>1</v>
      </c>
      <c r="I7" s="405">
        <v>3</v>
      </c>
      <c r="J7" s="406"/>
      <c r="K7" s="472"/>
      <c r="L7" s="151">
        <f>COUNTIF(payesh!$E$13:$N$13,"نام")</f>
        <v>0</v>
      </c>
      <c r="N7" s="405">
        <v>3</v>
      </c>
      <c r="O7" s="406"/>
      <c r="P7" s="472"/>
      <c r="Q7" s="151">
        <f>COUNTIF(payesh!$E$11:$N$11,"نام")</f>
        <v>0</v>
      </c>
    </row>
    <row r="8" spans="2:20" ht="18" x14ac:dyDescent="0.25">
      <c r="B8" s="146">
        <v>5</v>
      </c>
      <c r="C8" s="153"/>
      <c r="D8" s="144">
        <f>COUNTIF(payesh!$E$5:$N$5,"نام روستا")</f>
        <v>0</v>
      </c>
      <c r="F8" s="137" t="s">
        <v>240</v>
      </c>
      <c r="G8" s="151">
        <f>COUNTIF($D$4:$D$15,"5")</f>
        <v>0</v>
      </c>
      <c r="I8" s="405">
        <v>4</v>
      </c>
      <c r="J8" s="406"/>
      <c r="K8" s="472"/>
      <c r="L8" s="151">
        <f>COUNTIF(payesh!$E$13:$N$13,"نام")</f>
        <v>0</v>
      </c>
      <c r="N8" s="405">
        <v>4</v>
      </c>
      <c r="O8" s="406"/>
      <c r="P8" s="472"/>
      <c r="Q8" s="151">
        <f>COUNTIF(payesh!$E$11:$N$11,"نام")</f>
        <v>0</v>
      </c>
    </row>
    <row r="9" spans="2:20" ht="18.75" thickBot="1" x14ac:dyDescent="0.3">
      <c r="B9" s="146">
        <v>6</v>
      </c>
      <c r="C9" s="153"/>
      <c r="D9" s="144">
        <f>COUNTIF(payesh!$E$5:$N$5,"نام روستا")</f>
        <v>0</v>
      </c>
      <c r="F9" s="137" t="s">
        <v>241</v>
      </c>
      <c r="G9" s="151">
        <f>COUNTIF($D$4:$D$15,"6")</f>
        <v>0</v>
      </c>
      <c r="I9" s="405">
        <v>5</v>
      </c>
      <c r="J9" s="406"/>
      <c r="K9" s="472"/>
      <c r="L9" s="151">
        <f>COUNTIF(payesh!$E$13:$N$13,"نام")</f>
        <v>0</v>
      </c>
      <c r="N9" s="407">
        <v>5</v>
      </c>
      <c r="O9" s="408"/>
      <c r="P9" s="473"/>
      <c r="Q9" s="152">
        <f>COUNTIF(payesh!$E$11:$N$11,"نام")</f>
        <v>0</v>
      </c>
    </row>
    <row r="10" spans="2:20" ht="18.75" thickBot="1" x14ac:dyDescent="0.3">
      <c r="B10" s="146">
        <v>7</v>
      </c>
      <c r="C10" s="153"/>
      <c r="D10" s="144">
        <f>COUNTIF(payesh!$E$5:$N$5,"نام روستا")</f>
        <v>0</v>
      </c>
      <c r="F10" s="137" t="s">
        <v>242</v>
      </c>
      <c r="G10" s="151">
        <f>COUNTIF($D$4:$D$15,"7")</f>
        <v>0</v>
      </c>
      <c r="I10" s="405">
        <v>6</v>
      </c>
      <c r="J10" s="406"/>
      <c r="K10" s="472"/>
      <c r="L10" s="151">
        <f>COUNTIF(payesh!$E$13:$N$13,"نام")</f>
        <v>0</v>
      </c>
      <c r="N10" s="600" t="s">
        <v>106</v>
      </c>
      <c r="O10" s="601"/>
      <c r="P10" s="601"/>
      <c r="Q10" s="410">
        <f>SUM(Q5:Q9)</f>
        <v>7</v>
      </c>
    </row>
    <row r="11" spans="2:20" ht="18" x14ac:dyDescent="0.25">
      <c r="B11" s="146">
        <v>8</v>
      </c>
      <c r="C11" s="153"/>
      <c r="D11" s="144">
        <f>COUNTIF(payesh!$E$5:$N$5,"نام روستا")</f>
        <v>0</v>
      </c>
      <c r="F11" s="137" t="s">
        <v>243</v>
      </c>
      <c r="G11" s="151">
        <f>COUNTIF($D$4:$D$15,"8")</f>
        <v>0</v>
      </c>
      <c r="I11" s="405">
        <v>7</v>
      </c>
      <c r="J11" s="406"/>
      <c r="K11" s="472"/>
      <c r="L11" s="151">
        <f>COUNTIF(payesh!$E$13:$N$13,"نام")</f>
        <v>0</v>
      </c>
    </row>
    <row r="12" spans="2:20" ht="18" x14ac:dyDescent="0.25">
      <c r="B12" s="146">
        <v>9</v>
      </c>
      <c r="C12" s="153"/>
      <c r="D12" s="144">
        <f>COUNTIF(payesh!$E$5:$N$5,"نام روستا")</f>
        <v>0</v>
      </c>
      <c r="F12" s="137" t="s">
        <v>244</v>
      </c>
      <c r="G12" s="151">
        <f>COUNTIF($D$4:$D$15,"9")</f>
        <v>0</v>
      </c>
      <c r="I12" s="405">
        <v>8</v>
      </c>
      <c r="J12" s="406"/>
      <c r="K12" s="472"/>
      <c r="L12" s="151">
        <f>COUNTIF(payesh!$E$13:$N$13,"نام")</f>
        <v>0</v>
      </c>
    </row>
    <row r="13" spans="2:20" ht="18.75" thickBot="1" x14ac:dyDescent="0.3">
      <c r="B13" s="146">
        <v>10</v>
      </c>
      <c r="C13" s="153"/>
      <c r="D13" s="144">
        <f>COUNTIF(payesh!$E$5:$N$5,"نام روستا")</f>
        <v>0</v>
      </c>
      <c r="F13" s="137" t="s">
        <v>245</v>
      </c>
      <c r="G13" s="151">
        <f>COUNTIF($D$4:$D$15,"10")</f>
        <v>0</v>
      </c>
      <c r="I13" s="405">
        <v>9</v>
      </c>
      <c r="J13" s="406"/>
      <c r="K13" s="472"/>
      <c r="L13" s="151">
        <f>COUNTIF(payesh!$E$13:$N$13,"نام")</f>
        <v>0</v>
      </c>
    </row>
    <row r="14" spans="2:20" ht="19.5" thickBot="1" x14ac:dyDescent="0.3">
      <c r="B14" s="146">
        <v>17</v>
      </c>
      <c r="C14" s="153"/>
      <c r="D14" s="144">
        <f>COUNTIF(payesh!$E$5:$N$5,"نام روستا")</f>
        <v>0</v>
      </c>
      <c r="F14" s="137" t="s">
        <v>246</v>
      </c>
      <c r="G14" s="151">
        <f>COUNTIF($D$4:$D$15,"17")</f>
        <v>0</v>
      </c>
      <c r="I14" s="602" t="s">
        <v>106</v>
      </c>
      <c r="J14" s="603"/>
      <c r="K14" s="604"/>
      <c r="L14" s="409">
        <f>SUM(L5:L13)</f>
        <v>7</v>
      </c>
      <c r="N14" s="485" t="s">
        <v>71</v>
      </c>
      <c r="O14" s="486" t="s">
        <v>499</v>
      </c>
      <c r="P14" s="487" t="s">
        <v>202</v>
      </c>
      <c r="Q14" s="404" t="s">
        <v>501</v>
      </c>
      <c r="R14" s="488" t="s">
        <v>502</v>
      </c>
      <c r="S14" s="404" t="s">
        <v>503</v>
      </c>
      <c r="T14" s="489" t="s">
        <v>504</v>
      </c>
    </row>
    <row r="15" spans="2:20" ht="19.5" thickBot="1" x14ac:dyDescent="0.3">
      <c r="B15" s="146">
        <v>21</v>
      </c>
      <c r="C15" s="153"/>
      <c r="D15" s="144">
        <f>COUNTIF(payesh!$E$5:$N$5,"نام روستا")</f>
        <v>0</v>
      </c>
      <c r="F15" s="147" t="s">
        <v>106</v>
      </c>
      <c r="G15" s="148">
        <f>SUM(G4:G14)</f>
        <v>3</v>
      </c>
      <c r="N15" s="405">
        <v>1</v>
      </c>
      <c r="O15" s="406" t="s">
        <v>508</v>
      </c>
      <c r="P15" s="484">
        <f>COUNTIF(payesh!$E$80:$N$80,"خیابان حسن اباد")</f>
        <v>2</v>
      </c>
      <c r="Q15" s="184">
        <f>COUNTIFS(payesh!$E$80:$N$80,"*خیابان حسن اباد*",payesh!$E$84:$N$84,"&lt;100")</f>
        <v>2</v>
      </c>
      <c r="R15" s="480">
        <f>COUNTIFS(payesh!$E$80:$N$80,"*خیابان حسن اباد*",payesh!$E$86:$N$86,"&gt;100")</f>
        <v>2</v>
      </c>
      <c r="S15" s="406">
        <f>P15-R15</f>
        <v>0</v>
      </c>
      <c r="T15" s="481">
        <f>SUMIF(payesh!$E$80:$N$80,"*حسن اباد*",payesh!$E$86:$N$86)</f>
        <v>355000000</v>
      </c>
    </row>
    <row r="16" spans="2:20" ht="19.5" thickBot="1" x14ac:dyDescent="0.3">
      <c r="B16" s="391" t="s">
        <v>106</v>
      </c>
      <c r="C16" s="392">
        <f>SUM(D16:D16)</f>
        <v>7</v>
      </c>
      <c r="D16" s="393">
        <f>SUM(D4:D15)</f>
        <v>7</v>
      </c>
      <c r="N16" s="405">
        <v>2</v>
      </c>
      <c r="O16" s="406" t="s">
        <v>486</v>
      </c>
      <c r="P16" s="484">
        <f>COUNTIF(payesh!$E$80:$N$80,"کارخانه شیر")</f>
        <v>4</v>
      </c>
      <c r="Q16" s="184">
        <f>COUNTIFS(payesh!$E$80:$N$80,"*کارخانه شیر*",payesh!$E$84:$N$84,"&lt;100")</f>
        <v>4</v>
      </c>
      <c r="R16" s="480">
        <f>COUNTIFS(payesh!$E$80:$N$80,"*کارخانه شیر*",payesh!$E$86:$N$86,"&gt;100")</f>
        <v>4</v>
      </c>
      <c r="S16" s="406">
        <f t="shared" ref="S16:S19" si="0">P16-R16</f>
        <v>0</v>
      </c>
      <c r="T16" s="481">
        <f>SUMIF(payesh!$E$80:$N$80,"*کارخانه شیر*",payesh!$E$86:$N$86)</f>
        <v>940000000</v>
      </c>
    </row>
    <row r="17" spans="14:20" ht="18" x14ac:dyDescent="0.25">
      <c r="N17" s="405">
        <v>3</v>
      </c>
      <c r="O17" s="406" t="s">
        <v>507</v>
      </c>
      <c r="P17" s="484">
        <f>COUNTIF(payesh!$E$80:$N$80,"شویشه")</f>
        <v>1</v>
      </c>
      <c r="Q17" s="184">
        <f>COUNTIFS(payesh!$E$80:$N$80,"*شویشه*",payesh!$E$84:$N$84,"&lt;100")</f>
        <v>1</v>
      </c>
      <c r="R17" s="480">
        <f>COUNTIFS(payesh!$E$80:$N$80,"*شویشه*",payesh!$E$86:$N$86,"&gt;100")</f>
        <v>1</v>
      </c>
      <c r="S17" s="406">
        <f t="shared" si="0"/>
        <v>0</v>
      </c>
      <c r="T17" s="481">
        <f>SUMIF(payesh!$E$80:$N$80,"*شویشه*",payesh!$E$86:$N$86)</f>
        <v>305000000</v>
      </c>
    </row>
    <row r="18" spans="14:20" ht="18" x14ac:dyDescent="0.25">
      <c r="N18" s="405">
        <v>4</v>
      </c>
      <c r="O18" s="406"/>
      <c r="P18" s="484">
        <f>COUNTIF(payesh!$E$80:$N$80,"نام")</f>
        <v>0</v>
      </c>
      <c r="Q18" s="184">
        <f>COUNTIFS(payesh!$E$80:$N$80,"*نام*",payesh!$E$84:$N$84,"&lt;100")</f>
        <v>0</v>
      </c>
      <c r="R18" s="480">
        <f>COUNTIFS(payesh!$E$80:$N$80,"*نام*",payesh!$E$86:$N$86,"&gt;100")</f>
        <v>0</v>
      </c>
      <c r="S18" s="184">
        <f>P18-R18</f>
        <v>0</v>
      </c>
      <c r="T18" s="481">
        <f>SUMIF(payesh!$E$80:$N$80,"*نام*",payesh!$E$86:$N$86)</f>
        <v>0</v>
      </c>
    </row>
    <row r="19" spans="14:20" ht="18" x14ac:dyDescent="0.25">
      <c r="N19" s="405">
        <v>5</v>
      </c>
      <c r="O19" s="406"/>
      <c r="P19" s="484">
        <f>COUNTIF(payesh!$E$80:$N$80,"نام")</f>
        <v>0</v>
      </c>
      <c r="Q19" s="184">
        <f>COUNTIFS(payesh!$E$80:$N$80,"*نام*",payesh!$E$84:$N$84,"&lt;100")</f>
        <v>0</v>
      </c>
      <c r="R19" s="480">
        <f>COUNTIFS(payesh!$E$80:$N$80,"*نام*",payesh!$E$86:$N$86,"&gt;100")</f>
        <v>0</v>
      </c>
      <c r="S19" s="406">
        <f t="shared" si="0"/>
        <v>0</v>
      </c>
      <c r="T19" s="481">
        <f>SUMIF(payesh!$E$80:$N$80,"*نام*",payesh!$E$86:$N$86)</f>
        <v>0</v>
      </c>
    </row>
    <row r="20" spans="14:20" ht="18.75" thickBot="1" x14ac:dyDescent="0.3">
      <c r="N20" s="605" t="s">
        <v>106</v>
      </c>
      <c r="O20" s="606"/>
      <c r="P20" s="490">
        <f>SUM(P15:P19)</f>
        <v>7</v>
      </c>
      <c r="Q20" s="491">
        <f>SUM(Q15:Q19)</f>
        <v>7</v>
      </c>
      <c r="R20" s="492">
        <f t="shared" ref="R20:S20" si="1">SUM(R15:R19)</f>
        <v>7</v>
      </c>
      <c r="S20" s="186">
        <f t="shared" si="1"/>
        <v>0</v>
      </c>
      <c r="T20" s="483">
        <f>SUM(T15:T19)</f>
        <v>1600000000</v>
      </c>
    </row>
    <row r="21" spans="14:20" ht="18" x14ac:dyDescent="0.25">
      <c r="N21" s="485" t="s">
        <v>71</v>
      </c>
      <c r="O21" s="486" t="s">
        <v>499</v>
      </c>
      <c r="P21" s="404" t="s">
        <v>501</v>
      </c>
      <c r="Q21" s="488" t="s">
        <v>505</v>
      </c>
      <c r="R21" s="489" t="s">
        <v>504</v>
      </c>
    </row>
    <row r="22" spans="14:20" x14ac:dyDescent="0.25">
      <c r="N22" s="405">
        <v>1</v>
      </c>
      <c r="O22" s="406" t="s">
        <v>508</v>
      </c>
      <c r="P22" s="184">
        <f>COUNTIFS(payesh!$E$80:$N$80,"*خیابان حسن اباد*",payesh!$E$97:$N$97,"&lt;100")</f>
        <v>0</v>
      </c>
      <c r="Q22" s="480">
        <f>COUNTIFS(payesh!$E$80:$N$80,"*خیابان حسن اباد*",payesh!$E$99:$N$99,"&gt;100")</f>
        <v>0</v>
      </c>
      <c r="R22" s="481">
        <f>SUMIF(payesh!$E$80:$N$80,"*خیابان حسن اباد*",payesh!$E$99:$N$99)</f>
        <v>0</v>
      </c>
    </row>
    <row r="23" spans="14:20" x14ac:dyDescent="0.25">
      <c r="N23" s="405">
        <v>2</v>
      </c>
      <c r="O23" s="406" t="s">
        <v>486</v>
      </c>
      <c r="P23" s="184">
        <f>COUNTIFS(payesh!$E$80:$N$80,"*کارخانه شیر*",payesh!$E$97:$N$97,"&lt;100")</f>
        <v>0</v>
      </c>
      <c r="Q23" s="480">
        <f>COUNTIFS(payesh!$E$80:$N$80,"*کارخانه شیر*",payesh!$E$99:$N$99,"&gt;100")</f>
        <v>0</v>
      </c>
      <c r="R23" s="481">
        <f>SUMIF(payesh!$E$80:$N$80,"*کارخانه شیر*",payesh!$E$99:$N$99)</f>
        <v>0</v>
      </c>
    </row>
    <row r="24" spans="14:20" x14ac:dyDescent="0.25">
      <c r="N24" s="405">
        <v>3</v>
      </c>
      <c r="O24" s="406" t="s">
        <v>507</v>
      </c>
      <c r="P24" s="184">
        <f>COUNTIFS(payesh!$E$80:$N$80,"*شویشه*",payesh!$E$97:$N$97,"&lt;100")</f>
        <v>0</v>
      </c>
      <c r="Q24" s="480">
        <f>COUNTIFS(payesh!$E$80:$N$80,"*شویشه*",payesh!$E$99:$N$99,"&gt;100")</f>
        <v>0</v>
      </c>
      <c r="R24" s="481">
        <f>SUMIF(payesh!$E$80:$N$80,"*شویشه*",payesh!$E$99:$N$99)</f>
        <v>0</v>
      </c>
    </row>
    <row r="25" spans="14:20" x14ac:dyDescent="0.25">
      <c r="N25" s="405">
        <v>4</v>
      </c>
      <c r="O25" s="406"/>
      <c r="P25" s="184">
        <f>COUNTIFS(payesh!$E$80:$N$80,"*نام*",payesh!$E$97:$N$97,"&lt;100")</f>
        <v>0</v>
      </c>
      <c r="Q25" s="480">
        <f>COUNTIFS(payesh!$E$80:$N$80,"*نام*",payesh!$E$99:$N$99,"&gt;100")</f>
        <v>0</v>
      </c>
      <c r="R25" s="481">
        <f>SUMIF(payesh!$E$80:$N$80,"*نام*",payesh!$E$99:$N$99)</f>
        <v>0</v>
      </c>
    </row>
    <row r="26" spans="14:20" x14ac:dyDescent="0.25">
      <c r="N26" s="405">
        <v>5</v>
      </c>
      <c r="O26" s="406"/>
      <c r="P26" s="184">
        <f>COUNTIFS(payesh!$E$80:$N$80,"*نام*",payesh!$E$97:$N$97,"&lt;100")</f>
        <v>0</v>
      </c>
      <c r="Q26" s="480">
        <f>COUNTIFS(payesh!$E$80:$N$80,"*نام*",payesh!$E$99:$N$99,"&gt;100")</f>
        <v>0</v>
      </c>
      <c r="R26" s="481">
        <f>SUMIF(payesh!$E$80:$N$80,"*نام*",payesh!$E$99:$N$99)</f>
        <v>0</v>
      </c>
    </row>
    <row r="27" spans="14:20" ht="18.75" thickBot="1" x14ac:dyDescent="0.3">
      <c r="N27" s="598" t="s">
        <v>106</v>
      </c>
      <c r="O27" s="599"/>
      <c r="P27" s="186">
        <f>SUM(P22:P26)</f>
        <v>0</v>
      </c>
      <c r="Q27" s="482">
        <f t="shared" ref="Q27" si="2">SUM(Q22:Q26)</f>
        <v>0</v>
      </c>
      <c r="R27" s="483">
        <f>SUM(R22:R26)</f>
        <v>0</v>
      </c>
    </row>
    <row r="28" spans="14:20" ht="18" x14ac:dyDescent="0.25">
      <c r="N28" s="485" t="s">
        <v>71</v>
      </c>
      <c r="O28" s="486" t="s">
        <v>499</v>
      </c>
      <c r="P28" s="404" t="s">
        <v>501</v>
      </c>
      <c r="Q28" s="488" t="s">
        <v>506</v>
      </c>
      <c r="R28" s="489" t="s">
        <v>504</v>
      </c>
    </row>
    <row r="29" spans="14:20" x14ac:dyDescent="0.25">
      <c r="N29" s="405">
        <v>1</v>
      </c>
      <c r="O29" s="406" t="s">
        <v>508</v>
      </c>
      <c r="P29" s="184">
        <f>COUNTIFS(payesh!$E$80:$N$80,"*خیابان حسن اباد*",payesh!$E$110:$N$110,"&lt;100")</f>
        <v>0</v>
      </c>
      <c r="Q29" s="480">
        <f>COUNTIFS(payesh!$E$80:$N$80,"*خیابان حسن اباد*",payesh!$E$112:$N$112,"&gt;100")</f>
        <v>0</v>
      </c>
      <c r="R29" s="481">
        <f>SUMIF(payesh!$E$80:$N$80,"*خیابان حسن اباد*",payesh!$E$112:$N$112)</f>
        <v>0</v>
      </c>
    </row>
    <row r="30" spans="14:20" x14ac:dyDescent="0.25">
      <c r="N30" s="405">
        <v>2</v>
      </c>
      <c r="O30" s="406" t="s">
        <v>486</v>
      </c>
      <c r="P30" s="184">
        <f>COUNTIFS(payesh!$E$80:$N$80,"*کارخانه شیر*",payesh!$E$110:$N$110,"&lt;100")</f>
        <v>0</v>
      </c>
      <c r="Q30" s="480">
        <f>COUNTIFS(payesh!$E$80:$N$80,"*کارخانه شیر*",payesh!$E$112:$N$112,"&gt;100")</f>
        <v>0</v>
      </c>
      <c r="R30" s="481">
        <f>SUMIF(payesh!$E$80:$N$80,"*کارخانه شیر*",payesh!$E$112:$N$112)</f>
        <v>0</v>
      </c>
    </row>
    <row r="31" spans="14:20" x14ac:dyDescent="0.25">
      <c r="N31" s="405">
        <v>3</v>
      </c>
      <c r="O31" s="406" t="s">
        <v>507</v>
      </c>
      <c r="P31" s="184">
        <f>COUNTIFS(payesh!$E$80:$N$80,"*شویشه*",payesh!$E$110:$N$110,"&lt;100")</f>
        <v>0</v>
      </c>
      <c r="Q31" s="480">
        <f>COUNTIFS(payesh!$E$80:$N$80,"*شویشه*",payesh!$E$112:$N$112,"&gt;100")</f>
        <v>0</v>
      </c>
      <c r="R31" s="481">
        <f>SUMIF(payesh!$E$80:$N$80,"*شویشه*",payesh!$E$112:$N$112)</f>
        <v>0</v>
      </c>
    </row>
    <row r="32" spans="14:20" x14ac:dyDescent="0.25">
      <c r="N32" s="405">
        <v>4</v>
      </c>
      <c r="O32" s="406"/>
      <c r="P32" s="184">
        <f>COUNTIFS(payesh!$E$80:$N$80,"*نام*",payesh!$E$110:$N$110,"&lt;100")</f>
        <v>0</v>
      </c>
      <c r="Q32" s="480">
        <f>COUNTIFS(payesh!$E$80:$N$80,"*نام*",payesh!$E$112:$N$112,"&gt;100")</f>
        <v>0</v>
      </c>
      <c r="R32" s="481">
        <f>SUMIF(payesh!$E$80:$N$80,"*نام*",payesh!$E$112:$N$112)</f>
        <v>0</v>
      </c>
    </row>
    <row r="33" spans="14:18" x14ac:dyDescent="0.25">
      <c r="N33" s="405">
        <v>5</v>
      </c>
      <c r="O33" s="406"/>
      <c r="P33" s="184">
        <f>COUNTIFS(payesh!$E$80:$N$80,"*نام*",payesh!$E$110:$N$110,"&lt;100")</f>
        <v>0</v>
      </c>
      <c r="Q33" s="480">
        <f>COUNTIFS(payesh!$E$80:$N$80,"*نام*",payesh!$E$112:$N$112,"&gt;100")</f>
        <v>0</v>
      </c>
      <c r="R33" s="481">
        <f>SUMIF(payesh!$E$80:$N$80,"*نام*",payesh!$E$112:$N$112)</f>
        <v>0</v>
      </c>
    </row>
    <row r="34" spans="14:18" ht="18.75" thickBot="1" x14ac:dyDescent="0.3">
      <c r="N34" s="598" t="s">
        <v>106</v>
      </c>
      <c r="O34" s="599"/>
      <c r="P34" s="186">
        <f>SUM(P29:P33)</f>
        <v>0</v>
      </c>
      <c r="Q34" s="482">
        <f t="shared" ref="Q34" si="3">SUM(Q29:Q33)</f>
        <v>0</v>
      </c>
      <c r="R34" s="483">
        <f>SUM(R29:R33)</f>
        <v>0</v>
      </c>
    </row>
    <row r="35" spans="14:18" ht="18" x14ac:dyDescent="0.25">
      <c r="N35" s="485" t="s">
        <v>71</v>
      </c>
      <c r="O35" s="486" t="s">
        <v>499</v>
      </c>
      <c r="P35" s="404" t="s">
        <v>501</v>
      </c>
      <c r="Q35" s="488" t="s">
        <v>510</v>
      </c>
      <c r="R35" s="489" t="s">
        <v>504</v>
      </c>
    </row>
    <row r="36" spans="14:18" x14ac:dyDescent="0.25">
      <c r="N36" s="405">
        <v>1</v>
      </c>
      <c r="O36" s="406" t="s">
        <v>508</v>
      </c>
      <c r="P36" s="184">
        <f>COUNTIFS(payesh!$E$80:$N$80,"*خیابان حسن اباد*",payesh!$E$123:$N$123,"&lt;100")</f>
        <v>0</v>
      </c>
      <c r="Q36" s="480">
        <f>COUNTIFS(payesh!$E$80:$N$80,"*خیابان حسن اباد*",payesh!$E$126:$N$126,"&gt;100")</f>
        <v>0</v>
      </c>
      <c r="R36" s="481">
        <f>SUMIF(payesh!$E$80:$N$80,"*خیابان حسن اباد*",payesh!$E$126:$N$126)</f>
        <v>0</v>
      </c>
    </row>
    <row r="37" spans="14:18" x14ac:dyDescent="0.25">
      <c r="N37" s="405">
        <v>2</v>
      </c>
      <c r="O37" s="406" t="s">
        <v>486</v>
      </c>
      <c r="P37" s="184">
        <f>COUNTIFS(payesh!$E$80:$N$80,"*کارخانه شیر*",payesh!$E$123:$N$123,"&lt;100")</f>
        <v>0</v>
      </c>
      <c r="Q37" s="480">
        <f>COUNTIFS(payesh!$E$80:$N$80,"*کارخانه شیر*",payesh!$E$126:$N$126,"&gt;100")</f>
        <v>0</v>
      </c>
      <c r="R37" s="481">
        <f>SUMIF(payesh!$E$80:$N$80,"*کارخانه شیر*",payesh!$E$126:$N$126)</f>
        <v>0</v>
      </c>
    </row>
    <row r="38" spans="14:18" x14ac:dyDescent="0.25">
      <c r="N38" s="405">
        <v>3</v>
      </c>
      <c r="O38" s="406" t="s">
        <v>507</v>
      </c>
      <c r="P38" s="184">
        <f>COUNTIFS(payesh!$E$80:$N$80,"*شویشه*",payesh!$E$123:$N$123,"&lt;100")</f>
        <v>0</v>
      </c>
      <c r="Q38" s="480">
        <f>COUNTIFS(payesh!$E$80:$N$80,"*شویشه*",payesh!$E$126:$N$126,"&gt;100")</f>
        <v>0</v>
      </c>
      <c r="R38" s="481">
        <f>SUMIF(payesh!$E$80:$N$80,"*شویشه*",payesh!$E$126:$N$126)</f>
        <v>0</v>
      </c>
    </row>
    <row r="39" spans="14:18" x14ac:dyDescent="0.25">
      <c r="N39" s="405">
        <v>4</v>
      </c>
      <c r="O39" s="406"/>
      <c r="P39" s="184">
        <f>COUNTIFS(payesh!$E$80:$N$80,"*نام*",payesh!$E$123:$N$123,"&lt;100")</f>
        <v>0</v>
      </c>
      <c r="Q39" s="480">
        <f>COUNTIFS(payesh!$E$80:$N$80,"*نام*",payesh!$E$126:$N$126,"&gt;100")</f>
        <v>0</v>
      </c>
      <c r="R39" s="481">
        <f>SUMIF(payesh!$E$80:$N$80,"*نام*",payesh!$E$126:$N$126)</f>
        <v>0</v>
      </c>
    </row>
    <row r="40" spans="14:18" x14ac:dyDescent="0.25">
      <c r="N40" s="405">
        <v>5</v>
      </c>
      <c r="O40" s="406"/>
      <c r="P40" s="184">
        <f>COUNTIFS(payesh!$E$80:$N$80,"*نام*",payesh!$E$123:$N$123,"&lt;100")</f>
        <v>0</v>
      </c>
      <c r="Q40" s="480">
        <f>COUNTIFS(payesh!$E$80:$N$80,"*نام*",payesh!$E$126:$N$126,"&gt;100")</f>
        <v>0</v>
      </c>
      <c r="R40" s="481">
        <f>SUMIF(payesh!$E$80:$N$80,"*نام*",payesh!$E$126:$N$126)</f>
        <v>0</v>
      </c>
    </row>
    <row r="41" spans="14:18" ht="18.75" thickBot="1" x14ac:dyDescent="0.3">
      <c r="N41" s="598" t="s">
        <v>106</v>
      </c>
      <c r="O41" s="599"/>
      <c r="P41" s="186">
        <f>SUM(P36:P40)</f>
        <v>0</v>
      </c>
      <c r="Q41" s="482">
        <f t="shared" ref="Q41" si="4">SUM(Q36:Q40)</f>
        <v>0</v>
      </c>
      <c r="R41" s="483">
        <f>SUM(R36:R40)</f>
        <v>0</v>
      </c>
    </row>
  </sheetData>
  <sheetProtection algorithmName="SHA-512" hashValue="tzCQjJGRZQK8TPmJxuuVBor2hsLJqmr+gDjl/ELAguUkQ1Gp9ma3ppUwkRScg+huEUkpCS14wuHZHapozz70wg==" saltValue="G+NKlGE8xWM3L6biUpz/IA==" spinCount="100000" sheet="1" objects="1" scenarios="1"/>
  <mergeCells count="6">
    <mergeCell ref="N41:O41"/>
    <mergeCell ref="N10:P10"/>
    <mergeCell ref="I14:K14"/>
    <mergeCell ref="N20:O20"/>
    <mergeCell ref="N27:O27"/>
    <mergeCell ref="N34:O34"/>
  </mergeCells>
  <conditionalFormatting sqref="G15">
    <cfRule type="dataBar" priority="15">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4">
      <dataBar>
        <cfvo type="min"/>
        <cfvo type="max"/>
        <color rgb="FFFF555A"/>
      </dataBar>
      <extLst>
        <ext xmlns:x14="http://schemas.microsoft.com/office/spreadsheetml/2009/9/main" uri="{B025F937-C7B1-47D3-B67F-A62EFF666E3E}">
          <x14:id>{442A9F5A-BC9A-4AAB-879B-2CDAEE65E4DF}</x14:id>
        </ext>
      </extLst>
    </cfRule>
  </conditionalFormatting>
  <conditionalFormatting sqref="L14">
    <cfRule type="dataBar" priority="11">
      <dataBar>
        <cfvo type="min"/>
        <cfvo type="max"/>
        <color rgb="FFFF555A"/>
      </dataBar>
      <extLst>
        <ext xmlns:x14="http://schemas.microsoft.com/office/spreadsheetml/2009/9/main" uri="{B025F937-C7B1-47D3-B67F-A62EFF666E3E}">
          <x14:id>{D85AA768-5FBE-44C8-B640-69D2CF995088}</x14:id>
        </ext>
      </extLst>
    </cfRule>
  </conditionalFormatting>
  <conditionalFormatting sqref="Q5:Q9">
    <cfRule type="dataBar" priority="8">
      <dataBar>
        <cfvo type="min"/>
        <cfvo type="max"/>
        <color rgb="FFD6007B"/>
      </dataBar>
      <extLst>
        <ext xmlns:x14="http://schemas.microsoft.com/office/spreadsheetml/2009/9/main" uri="{B025F937-C7B1-47D3-B67F-A62EFF666E3E}">
          <x14:id>{88553D8A-19FA-41D9-9C73-9C45F79B5E55}</x14:id>
        </ext>
      </extLst>
    </cfRule>
  </conditionalFormatting>
  <conditionalFormatting sqref="L5:L13">
    <cfRule type="dataBar" priority="21">
      <dataBar>
        <cfvo type="min"/>
        <cfvo type="max"/>
        <color rgb="FFD6007B"/>
      </dataBar>
      <extLst>
        <ext xmlns:x14="http://schemas.microsoft.com/office/spreadsheetml/2009/9/main" uri="{B025F937-C7B1-47D3-B67F-A62EFF666E3E}">
          <x14:id>{A52A0676-2619-4086-BAD3-187AD36E58B4}</x14:id>
        </ext>
      </extLst>
    </cfRule>
  </conditionalFormatting>
  <conditionalFormatting sqref="G4:G14">
    <cfRule type="dataBar" priority="22">
      <dataBar>
        <cfvo type="min"/>
        <cfvo type="max"/>
        <color rgb="FFFF555A"/>
      </dataBar>
      <extLst>
        <ext xmlns:x14="http://schemas.microsoft.com/office/spreadsheetml/2009/9/main" uri="{B025F937-C7B1-47D3-B67F-A62EFF666E3E}">
          <x14:id>{03590409-380D-432F-8A9D-8E1B0270D53C}</x14:id>
        </ext>
      </extLst>
    </cfRule>
  </conditionalFormatting>
  <conditionalFormatting sqref="D4:D15">
    <cfRule type="dataBar" priority="24">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5:P19">
    <cfRule type="dataBar" priority="6">
      <dataBar>
        <cfvo type="min"/>
        <cfvo type="max"/>
        <color rgb="FFD6007B"/>
      </dataBar>
      <extLst>
        <ext xmlns:x14="http://schemas.microsoft.com/office/spreadsheetml/2009/9/main" uri="{B025F937-C7B1-47D3-B67F-A62EFF666E3E}">
          <x14:id>{46EBB466-1840-4BA5-9125-B931B08D9F9B}</x14:id>
        </ext>
      </extLst>
    </cfRule>
  </conditionalFormatting>
  <conditionalFormatting sqref="T15:T19">
    <cfRule type="dataBar" priority="5">
      <dataBar>
        <cfvo type="min"/>
        <cfvo type="max"/>
        <color rgb="FFD6007B"/>
      </dataBar>
      <extLst>
        <ext xmlns:x14="http://schemas.microsoft.com/office/spreadsheetml/2009/9/main" uri="{B025F937-C7B1-47D3-B67F-A62EFF666E3E}">
          <x14:id>{73691E20-66CE-40C6-8EEF-44CAE9D74016}</x14:id>
        </ext>
      </extLst>
    </cfRule>
  </conditionalFormatting>
  <conditionalFormatting sqref="R22:R26">
    <cfRule type="dataBar" priority="3">
      <dataBar>
        <cfvo type="min"/>
        <cfvo type="max"/>
        <color rgb="FFD6007B"/>
      </dataBar>
      <extLst>
        <ext xmlns:x14="http://schemas.microsoft.com/office/spreadsheetml/2009/9/main" uri="{B025F937-C7B1-47D3-B67F-A62EFF666E3E}">
          <x14:id>{136A317C-39F8-4C0E-B659-390ADC93B458}</x14:id>
        </ext>
      </extLst>
    </cfRule>
  </conditionalFormatting>
  <conditionalFormatting sqref="R29:R33">
    <cfRule type="dataBar" priority="2">
      <dataBar>
        <cfvo type="min"/>
        <cfvo type="max"/>
        <color rgb="FFD6007B"/>
      </dataBar>
      <extLst>
        <ext xmlns:x14="http://schemas.microsoft.com/office/spreadsheetml/2009/9/main" uri="{B025F937-C7B1-47D3-B67F-A62EFF666E3E}">
          <x14:id>{C49B191B-D42B-4184-863E-3508E141ED09}</x14:id>
        </ext>
      </extLst>
    </cfRule>
  </conditionalFormatting>
  <conditionalFormatting sqref="R36:R40">
    <cfRule type="dataBar" priority="1">
      <dataBar>
        <cfvo type="min"/>
        <cfvo type="max"/>
        <color rgb="FFD6007B"/>
      </dataBar>
      <extLst>
        <ext xmlns:x14="http://schemas.microsoft.com/office/spreadsheetml/2009/9/main" uri="{B025F937-C7B1-47D3-B67F-A62EFF666E3E}">
          <x14:id>{A12A341B-B6C2-4DE0-BBAF-69D55CCA37D0}</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G15</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L14</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L5:L13</xm:sqref>
        </x14:conditionalFormatting>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G4:G14</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D4:D15</xm:sqref>
        </x14:conditionalFormatting>
        <x14:conditionalFormatting xmlns:xm="http://schemas.microsoft.com/office/excel/2006/main">
          <x14:cfRule type="dataBar" id="{46EBB466-1840-4BA5-9125-B931B08D9F9B}">
            <x14:dataBar minLength="0" maxLength="100" border="1" negativeBarBorderColorSameAsPositive="0">
              <x14:cfvo type="autoMin"/>
              <x14:cfvo type="autoMax"/>
              <x14:borderColor rgb="FFD6007B"/>
              <x14:negativeFillColor rgb="FFFF0000"/>
              <x14:negativeBorderColor rgb="FFFF0000"/>
              <x14:axisColor rgb="FF000000"/>
            </x14:dataBar>
          </x14:cfRule>
          <xm:sqref>P15:P19</xm:sqref>
        </x14:conditionalFormatting>
        <x14:conditionalFormatting xmlns:xm="http://schemas.microsoft.com/office/excel/2006/main">
          <x14:cfRule type="dataBar" id="{73691E20-66CE-40C6-8EEF-44CAE9D74016}">
            <x14:dataBar minLength="0" maxLength="100" border="1" negativeBarBorderColorSameAsPositive="0">
              <x14:cfvo type="autoMin"/>
              <x14:cfvo type="autoMax"/>
              <x14:borderColor rgb="FFD6007B"/>
              <x14:negativeFillColor rgb="FFFF0000"/>
              <x14:negativeBorderColor rgb="FFFF0000"/>
              <x14:axisColor rgb="FF000000"/>
            </x14:dataBar>
          </x14:cfRule>
          <xm:sqref>T15:T19</xm:sqref>
        </x14:conditionalFormatting>
        <x14:conditionalFormatting xmlns:xm="http://schemas.microsoft.com/office/excel/2006/main">
          <x14:cfRule type="dataBar" id="{136A317C-39F8-4C0E-B659-390ADC93B458}">
            <x14:dataBar minLength="0" maxLength="100" border="1" negativeBarBorderColorSameAsPositive="0">
              <x14:cfvo type="autoMin"/>
              <x14:cfvo type="autoMax"/>
              <x14:borderColor rgb="FFD6007B"/>
              <x14:negativeFillColor rgb="FFFF0000"/>
              <x14:negativeBorderColor rgb="FFFF0000"/>
              <x14:axisColor rgb="FF000000"/>
            </x14:dataBar>
          </x14:cfRule>
          <xm:sqref>R22:R26</xm:sqref>
        </x14:conditionalFormatting>
        <x14:conditionalFormatting xmlns:xm="http://schemas.microsoft.com/office/excel/2006/main">
          <x14:cfRule type="dataBar" id="{C49B191B-D42B-4184-863E-3508E141ED09}">
            <x14:dataBar minLength="0" maxLength="100" border="1" negativeBarBorderColorSameAsPositive="0">
              <x14:cfvo type="autoMin"/>
              <x14:cfvo type="autoMax"/>
              <x14:borderColor rgb="FFD6007B"/>
              <x14:negativeFillColor rgb="FFFF0000"/>
              <x14:negativeBorderColor rgb="FFFF0000"/>
              <x14:axisColor rgb="FF000000"/>
            </x14:dataBar>
          </x14:cfRule>
          <xm:sqref>R29:R33</xm:sqref>
        </x14:conditionalFormatting>
        <x14:conditionalFormatting xmlns:xm="http://schemas.microsoft.com/office/excel/2006/main">
          <x14:cfRule type="dataBar" id="{A12A341B-B6C2-4DE0-BBAF-69D55CCA37D0}">
            <x14:dataBar minLength="0" maxLength="100" border="1" negativeBarBorderColorSameAsPositive="0">
              <x14:cfvo type="autoMin"/>
              <x14:cfvo type="autoMax"/>
              <x14:borderColor rgb="FFD6007B"/>
              <x14:negativeFillColor rgb="FFFF0000"/>
              <x14:negativeBorderColor rgb="FFFF0000"/>
              <x14:axisColor rgb="FF000000"/>
            </x14:dataBar>
          </x14:cfRule>
          <xm:sqref>R36:R40</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14"/>
  <sheetViews>
    <sheetView rightToLeft="1" workbookViewId="0">
      <selection activeCell="J18" sqref="J18"/>
    </sheetView>
  </sheetViews>
  <sheetFormatPr defaultRowHeight="18" x14ac:dyDescent="0.25"/>
  <cols>
    <col min="1" max="1" width="20.140625" style="70" customWidth="1"/>
    <col min="2" max="5" width="9.140625" style="70"/>
    <col min="6" max="6" width="12.42578125" style="70" customWidth="1"/>
    <col min="7" max="7" width="15.5703125" style="70" customWidth="1"/>
    <col min="8" max="8" width="15" style="70" customWidth="1"/>
    <col min="9" max="9" width="12.85546875" style="70" customWidth="1"/>
    <col min="10" max="10" width="15.42578125" style="70" customWidth="1"/>
    <col min="11" max="11" width="9.140625" style="70"/>
    <col min="12" max="14" width="11.5703125" style="70" customWidth="1"/>
    <col min="15" max="15" width="13" style="70" customWidth="1"/>
    <col min="16" max="16" width="18.5703125" style="70" customWidth="1"/>
    <col min="17" max="17" width="14" style="70" customWidth="1"/>
    <col min="18" max="16384" width="9.140625" style="70"/>
  </cols>
  <sheetData>
    <row r="3" spans="1:17" ht="18.75" thickBot="1" x14ac:dyDescent="0.3"/>
    <row r="4" spans="1:17" ht="19.5" thickBot="1" x14ac:dyDescent="0.5">
      <c r="A4" s="139" t="s">
        <v>229</v>
      </c>
      <c r="B4" s="142">
        <f>COUNTIF(J5:J14,"در مرحله افتتاح حساب")</f>
        <v>0</v>
      </c>
      <c r="D4" s="342" t="s">
        <v>71</v>
      </c>
      <c r="E4" s="343" t="s">
        <v>222</v>
      </c>
      <c r="F4" s="343" t="s">
        <v>223</v>
      </c>
      <c r="G4" s="343" t="s">
        <v>224</v>
      </c>
      <c r="H4" s="343" t="s">
        <v>225</v>
      </c>
      <c r="I4" s="343" t="s">
        <v>9</v>
      </c>
      <c r="J4" s="343" t="s">
        <v>226</v>
      </c>
      <c r="K4" s="343" t="s">
        <v>0</v>
      </c>
      <c r="L4" s="344" t="str">
        <f>payesh!D19</f>
        <v>نام گروه‌یار</v>
      </c>
      <c r="M4" s="344" t="str">
        <f>payesh!D20</f>
        <v>نام خزانه‌دار</v>
      </c>
      <c r="N4" s="344" t="str">
        <f>payesh!D21</f>
        <v>نام منشی</v>
      </c>
      <c r="O4" s="343" t="s">
        <v>227</v>
      </c>
      <c r="P4" s="343" t="s">
        <v>204</v>
      </c>
      <c r="Q4" s="345" t="s">
        <v>228</v>
      </c>
    </row>
    <row r="5" spans="1:17" ht="18.75" thickBot="1" x14ac:dyDescent="0.45">
      <c r="A5" s="140" t="s">
        <v>230</v>
      </c>
      <c r="B5" s="143">
        <f>COUNTIF(J5:J14,"تشکیل شده")</f>
        <v>0</v>
      </c>
      <c r="D5" s="341">
        <f>SHG!B4</f>
        <v>1</v>
      </c>
      <c r="E5" s="332" t="str">
        <f>SHG!C4</f>
        <v>کردستان</v>
      </c>
      <c r="F5" s="324" t="str">
        <f>SHG!D4</f>
        <v>سنندج</v>
      </c>
      <c r="G5" s="324" t="str">
        <f>SHG!E4</f>
        <v>سراب قامیش</v>
      </c>
      <c r="H5" s="325" t="str">
        <f>payesh!E15</f>
        <v>93/1/27</v>
      </c>
      <c r="I5" s="324" t="str">
        <f>SHG!F4</f>
        <v>گولان</v>
      </c>
      <c r="J5" s="326" t="s">
        <v>490</v>
      </c>
      <c r="K5" s="324">
        <f>payesh!E22</f>
        <v>16</v>
      </c>
      <c r="L5" s="324" t="str">
        <f>SHG!P4</f>
        <v xml:space="preserve">شهین باقری </v>
      </c>
      <c r="M5" s="324" t="str">
        <f>SHG!Q4</f>
        <v xml:space="preserve">لیلا پرتاب </v>
      </c>
      <c r="N5" s="324" t="str">
        <f>SHG!R4</f>
        <v xml:space="preserve">سیران </v>
      </c>
      <c r="O5" s="325">
        <f>SHG!N4</f>
        <v>705747713</v>
      </c>
      <c r="P5" s="324">
        <f>payesh!E62</f>
        <v>51744600</v>
      </c>
      <c r="Q5" s="327">
        <f>payesh!E82</f>
        <v>185000000</v>
      </c>
    </row>
    <row r="6" spans="1:17" ht="18.75" thickBot="1" x14ac:dyDescent="0.45">
      <c r="A6" s="139" t="s">
        <v>231</v>
      </c>
      <c r="B6" s="142">
        <f>COUNTIF(J5:J14,"اعتبارسنجی شده")</f>
        <v>0</v>
      </c>
      <c r="D6" s="333">
        <f>SHG!B5</f>
        <v>2</v>
      </c>
      <c r="E6" s="335" t="str">
        <f>SHG!C5</f>
        <v>کردستان</v>
      </c>
      <c r="F6" s="336" t="str">
        <f>SHG!D5</f>
        <v>سنندج</v>
      </c>
      <c r="G6" s="336" t="str">
        <f>SHG!E5</f>
        <v>سراب قامیش</v>
      </c>
      <c r="H6" s="337" t="str">
        <f>payesh!F15</f>
        <v>93/1/27</v>
      </c>
      <c r="I6" s="336" t="str">
        <f>SHG!F5</f>
        <v>چيا</v>
      </c>
      <c r="J6" s="338" t="s">
        <v>490</v>
      </c>
      <c r="K6" s="336">
        <f>payesh!F22</f>
        <v>16</v>
      </c>
      <c r="L6" s="336" t="str">
        <f>SHG!P5</f>
        <v>فاطمه كاظمي</v>
      </c>
      <c r="M6" s="336" t="str">
        <f>SHG!Q5</f>
        <v>بهار كاظمي</v>
      </c>
      <c r="N6" s="336" t="str">
        <f>SHG!R5</f>
        <v>رو‍‍ژين فرجي</v>
      </c>
      <c r="O6" s="337">
        <f>SHG!N5</f>
        <v>705748285</v>
      </c>
      <c r="P6" s="336">
        <f>payesh!F62</f>
        <v>69642600</v>
      </c>
      <c r="Q6" s="339">
        <f>payesh!F82</f>
        <v>170000000</v>
      </c>
    </row>
    <row r="7" spans="1:17" ht="18.75" thickBot="1" x14ac:dyDescent="0.45">
      <c r="A7" s="140" t="s">
        <v>232</v>
      </c>
      <c r="B7" s="143">
        <f>COUNTIF(J5:J14,"مراحل بانکی")</f>
        <v>0</v>
      </c>
      <c r="D7" s="340">
        <f>SHG!B6</f>
        <v>3</v>
      </c>
      <c r="E7" s="334" t="str">
        <f>SHG!C6</f>
        <v>کردستان</v>
      </c>
      <c r="F7" s="328" t="str">
        <f>SHG!D6</f>
        <v>سنندج</v>
      </c>
      <c r="G7" s="328" t="str">
        <f>SHG!E6</f>
        <v>عیسی آباد</v>
      </c>
      <c r="H7" s="329" t="str">
        <f>payesh!G15</f>
        <v>93/2/24</v>
      </c>
      <c r="I7" s="328" t="str">
        <f>SHG!F6</f>
        <v>مرجان</v>
      </c>
      <c r="J7" s="330" t="s">
        <v>490</v>
      </c>
      <c r="K7" s="328">
        <f>payesh!G22</f>
        <v>20</v>
      </c>
      <c r="L7" s="328" t="str">
        <f>SHG!P6</f>
        <v>ثريا محمدي</v>
      </c>
      <c r="M7" s="328" t="str">
        <f>SHG!Q6</f>
        <v>حصيبه محمدي</v>
      </c>
      <c r="N7" s="328" t="str">
        <f>SHG!R6</f>
        <v>صبري محمدي</v>
      </c>
      <c r="O7" s="329">
        <f>SHG!N6</f>
        <v>78788565</v>
      </c>
      <c r="P7" s="328">
        <f>payesh!G62</f>
        <v>64904000</v>
      </c>
      <c r="Q7" s="331">
        <f>payesh!G82</f>
        <v>305000000</v>
      </c>
    </row>
    <row r="8" spans="1:17" ht="18.75" thickBot="1" x14ac:dyDescent="0.45">
      <c r="A8" s="139" t="s">
        <v>233</v>
      </c>
      <c r="B8" s="142">
        <f>COUNTIF(J5:J14,"دریافت وام بانکی")</f>
        <v>7</v>
      </c>
      <c r="D8" s="333">
        <f>SHG!B7</f>
        <v>4</v>
      </c>
      <c r="E8" s="335" t="str">
        <f>SHG!C7</f>
        <v>کردستان</v>
      </c>
      <c r="F8" s="336" t="str">
        <f>SHG!D7</f>
        <v>سنندج</v>
      </c>
      <c r="G8" s="336" t="str">
        <f>SHG!E7</f>
        <v>قار</v>
      </c>
      <c r="H8" s="337" t="str">
        <f>payesh!H15</f>
        <v>93/5/15</v>
      </c>
      <c r="I8" s="336" t="str">
        <f>SHG!F7</f>
        <v>رمضان</v>
      </c>
      <c r="J8" s="338" t="s">
        <v>490</v>
      </c>
      <c r="K8" s="336">
        <f>payesh!H22</f>
        <v>22</v>
      </c>
      <c r="L8" s="336" t="str">
        <f>SHG!P7</f>
        <v>رضيه رشيدي</v>
      </c>
      <c r="M8" s="336" t="str">
        <f>SHG!Q7</f>
        <v>بهيه فرجي</v>
      </c>
      <c r="N8" s="336" t="str">
        <f>SHG!R7</f>
        <v>شعله كيخسروي</v>
      </c>
      <c r="O8" s="337">
        <f>SHG!N7</f>
        <v>715839738</v>
      </c>
      <c r="P8" s="336">
        <f>payesh!H62</f>
        <v>130151372</v>
      </c>
      <c r="Q8" s="339">
        <f>payesh!H82</f>
        <v>185000000</v>
      </c>
    </row>
    <row r="9" spans="1:17" ht="18.75" thickBot="1" x14ac:dyDescent="0.45">
      <c r="A9" s="141" t="s">
        <v>106</v>
      </c>
      <c r="B9" s="138">
        <f>SUM(B4:B8)</f>
        <v>7</v>
      </c>
      <c r="D9" s="340">
        <f>SHG!B8</f>
        <v>5</v>
      </c>
      <c r="E9" s="334" t="str">
        <f>SHG!C8</f>
        <v>کردستان</v>
      </c>
      <c r="F9" s="328" t="str">
        <f>SHG!D8</f>
        <v>سنندج</v>
      </c>
      <c r="G9" s="328" t="str">
        <f>SHG!E8</f>
        <v>قار</v>
      </c>
      <c r="H9" s="329" t="str">
        <f>payesh!I15</f>
        <v>93/5/15</v>
      </c>
      <c r="I9" s="328" t="str">
        <f>SHG!F8</f>
        <v xml:space="preserve"> رز</v>
      </c>
      <c r="J9" s="330" t="s">
        <v>490</v>
      </c>
      <c r="K9" s="328">
        <f>payesh!I22</f>
        <v>17</v>
      </c>
      <c r="L9" s="328" t="str">
        <f>SHG!P8</f>
        <v>مريم قبادي</v>
      </c>
      <c r="M9" s="328" t="str">
        <f>SHG!Q8</f>
        <v>نوش افرين ساعدي</v>
      </c>
      <c r="N9" s="328" t="str">
        <f>SHG!R8</f>
        <v xml:space="preserve">فراست احمد باغبانی </v>
      </c>
      <c r="O9" s="329">
        <f>SHG!N8</f>
        <v>751868392</v>
      </c>
      <c r="P9" s="328">
        <f>payesh!I62</f>
        <v>46172700</v>
      </c>
      <c r="Q9" s="331">
        <f>payesh!I82</f>
        <v>165000000</v>
      </c>
    </row>
    <row r="10" spans="1:17" ht="18.75" thickBot="1" x14ac:dyDescent="0.45">
      <c r="D10" s="333">
        <f>SHG!B9</f>
        <v>6</v>
      </c>
      <c r="E10" s="335" t="str">
        <f>SHG!C9</f>
        <v>کردستان</v>
      </c>
      <c r="F10" s="336" t="str">
        <f>SHG!D9</f>
        <v>سنندج</v>
      </c>
      <c r="G10" s="336" t="str">
        <f>SHG!E9</f>
        <v>قار</v>
      </c>
      <c r="H10" s="337" t="str">
        <f>payesh!J15</f>
        <v>93/5/15</v>
      </c>
      <c r="I10" s="336" t="str">
        <f>SHG!F9</f>
        <v>امانت</v>
      </c>
      <c r="J10" s="338" t="s">
        <v>490</v>
      </c>
      <c r="K10" s="336">
        <f>payesh!J22</f>
        <v>25</v>
      </c>
      <c r="L10" s="336" t="str">
        <f>SHG!P9</f>
        <v>فرناز گل محمدي</v>
      </c>
      <c r="M10" s="336" t="str">
        <f>SHG!Q9</f>
        <v>سحر رشيدي</v>
      </c>
      <c r="N10" s="336" t="str">
        <f>SHG!R9</f>
        <v>سوما ساعدي</v>
      </c>
      <c r="O10" s="337">
        <f>SHG!N9</f>
        <v>715964340</v>
      </c>
      <c r="P10" s="336">
        <f>payesh!J62</f>
        <v>150816400</v>
      </c>
      <c r="Q10" s="339">
        <f>payesh!J82</f>
        <v>305000000</v>
      </c>
    </row>
    <row r="11" spans="1:17" ht="18.75" thickBot="1" x14ac:dyDescent="0.45">
      <c r="D11" s="340">
        <f>SHG!B10</f>
        <v>7</v>
      </c>
      <c r="E11" s="334" t="str">
        <f>SHG!C10</f>
        <v>کردستان</v>
      </c>
      <c r="F11" s="328" t="str">
        <f>SHG!D10</f>
        <v>سنندج</v>
      </c>
      <c r="G11" s="328" t="str">
        <f>SHG!E10</f>
        <v>قار</v>
      </c>
      <c r="H11" s="329" t="str">
        <f>payesh!K15</f>
        <v>93/5/15</v>
      </c>
      <c r="I11" s="328" t="str">
        <f>SHG!F10</f>
        <v>ياس</v>
      </c>
      <c r="J11" s="330" t="s">
        <v>490</v>
      </c>
      <c r="K11" s="328">
        <f>payesh!K22</f>
        <v>25</v>
      </c>
      <c r="L11" s="328" t="str">
        <f>SHG!P10</f>
        <v>شايسته لطفي</v>
      </c>
      <c r="M11" s="328" t="str">
        <f>SHG!Q10</f>
        <v>خديجه رشيدي</v>
      </c>
      <c r="N11" s="328" t="str">
        <f>SHG!R10</f>
        <v>نظيره صلواتي</v>
      </c>
      <c r="O11" s="329">
        <f>SHG!N10</f>
        <v>715832289</v>
      </c>
      <c r="P11" s="328">
        <f>payesh!K62</f>
        <v>78609100</v>
      </c>
      <c r="Q11" s="331">
        <f>payesh!K82</f>
        <v>285000000</v>
      </c>
    </row>
    <row r="12" spans="1:17" ht="18.75" thickBot="1" x14ac:dyDescent="0.45">
      <c r="D12" s="333">
        <f>SHG!B11</f>
        <v>8</v>
      </c>
      <c r="E12" s="335">
        <f>SHG!C11</f>
        <v>0</v>
      </c>
      <c r="F12" s="336">
        <f>SHG!D11</f>
        <v>0</v>
      </c>
      <c r="G12" s="336">
        <f>SHG!E11</f>
        <v>0</v>
      </c>
      <c r="H12" s="337">
        <f>payesh!L15</f>
        <v>0</v>
      </c>
      <c r="I12" s="336">
        <f>SHG!F11</f>
        <v>0</v>
      </c>
      <c r="J12" s="338"/>
      <c r="K12" s="336">
        <f>payesh!L22</f>
        <v>0</v>
      </c>
      <c r="L12" s="336">
        <f>SHG!P11</f>
        <v>0</v>
      </c>
      <c r="M12" s="336">
        <f>SHG!Q11</f>
        <v>0</v>
      </c>
      <c r="N12" s="336">
        <f>SHG!R11</f>
        <v>0</v>
      </c>
      <c r="O12" s="337">
        <f>SHG!N11</f>
        <v>0</v>
      </c>
      <c r="P12" s="336">
        <f>payesh!L62</f>
        <v>0</v>
      </c>
      <c r="Q12" s="339">
        <f>payesh!L82</f>
        <v>0</v>
      </c>
    </row>
    <row r="13" spans="1:17" ht="18.75" thickBot="1" x14ac:dyDescent="0.45">
      <c r="D13" s="340">
        <f>SHG!B12</f>
        <v>9</v>
      </c>
      <c r="E13" s="334">
        <f>SHG!C12</f>
        <v>0</v>
      </c>
      <c r="F13" s="328">
        <f>SHG!D12</f>
        <v>0</v>
      </c>
      <c r="G13" s="328">
        <f>SHG!E12</f>
        <v>0</v>
      </c>
      <c r="H13" s="329">
        <f>payesh!M15</f>
        <v>0</v>
      </c>
      <c r="I13" s="328">
        <f>SHG!F12</f>
        <v>0</v>
      </c>
      <c r="J13" s="330"/>
      <c r="K13" s="328">
        <f>payesh!M22</f>
        <v>0</v>
      </c>
      <c r="L13" s="328">
        <f>SHG!P12</f>
        <v>0</v>
      </c>
      <c r="M13" s="328">
        <f>SHG!Q12</f>
        <v>0</v>
      </c>
      <c r="N13" s="328">
        <f>SHG!R12</f>
        <v>0</v>
      </c>
      <c r="O13" s="329">
        <f>SHG!N12</f>
        <v>0</v>
      </c>
      <c r="P13" s="328">
        <f>payesh!M62</f>
        <v>0</v>
      </c>
      <c r="Q13" s="331">
        <f>payesh!M82</f>
        <v>0</v>
      </c>
    </row>
    <row r="14" spans="1:17" ht="18.75" thickBot="1" x14ac:dyDescent="0.45">
      <c r="D14" s="333">
        <f>SHG!B13</f>
        <v>10</v>
      </c>
      <c r="E14" s="335">
        <f>SHG!C13</f>
        <v>0</v>
      </c>
      <c r="F14" s="336">
        <f>SHG!D13</f>
        <v>0</v>
      </c>
      <c r="G14" s="336">
        <f>SHG!E13</f>
        <v>0</v>
      </c>
      <c r="H14" s="337">
        <f>payesh!N15</f>
        <v>0</v>
      </c>
      <c r="I14" s="336">
        <f>SHG!F13</f>
        <v>0</v>
      </c>
      <c r="J14" s="338"/>
      <c r="K14" s="336">
        <f>payesh!N22</f>
        <v>0</v>
      </c>
      <c r="L14" s="336">
        <f>SHG!P13</f>
        <v>0</v>
      </c>
      <c r="M14" s="336">
        <f>SHG!Q13</f>
        <v>0</v>
      </c>
      <c r="N14" s="336">
        <f>SHG!R13</f>
        <v>0</v>
      </c>
      <c r="O14" s="337">
        <f>SHG!N13</f>
        <v>0</v>
      </c>
      <c r="P14" s="336">
        <f>payesh!N62</f>
        <v>0</v>
      </c>
      <c r="Q14" s="339">
        <f>payesh!N82</f>
        <v>0</v>
      </c>
    </row>
  </sheetData>
  <sheetProtection algorithmName="SHA-512" hashValue="s50wl3RKKm3DmkETy3M5wK/PuCBGJwu3zCWSH0y+eiZI+OFGfN5V33lQs4ZATk17EBlwvE5+djvQ0ySwDUsH6w==" saltValue="yBxPm13K/w5jON966mKAaQ==" spinCount="100000" sheet="1" objects="1" scenarios="1"/>
  <conditionalFormatting sqref="P5:P14">
    <cfRule type="dataBar" priority="18">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14">
    <cfRule type="dataBar" priority="19">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14">
    <cfRule type="dataBar" priority="20">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14">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P5:P14</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Q5:Q14</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K5:K14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J20"/>
  <sheetViews>
    <sheetView rightToLeft="1" topLeftCell="U1" workbookViewId="0">
      <selection activeCell="AK1" sqref="AK1:EZ1048576"/>
    </sheetView>
  </sheetViews>
  <sheetFormatPr defaultRowHeight="17.25" x14ac:dyDescent="0.25"/>
  <cols>
    <col min="1" max="3" width="9.140625" style="72"/>
    <col min="4" max="4" width="17" style="72" customWidth="1"/>
    <col min="5" max="5" width="22.140625" style="72" customWidth="1"/>
    <col min="6" max="11" width="9.140625" style="72"/>
    <col min="12" max="12" width="9.85546875" style="72" bestFit="1" customWidth="1"/>
    <col min="13" max="17" width="9.140625" style="72"/>
    <col min="18" max="18" width="10.85546875" style="72" customWidth="1"/>
    <col min="19" max="19" width="9.140625" style="72"/>
    <col min="20" max="21" width="11.140625" style="72" customWidth="1"/>
    <col min="22" max="22" width="11.42578125" style="72" bestFit="1" customWidth="1"/>
    <col min="23" max="23" width="9.140625" style="72"/>
    <col min="24" max="25" width="9.5703125" style="72" bestFit="1" customWidth="1"/>
    <col min="26" max="26" width="11" style="72" customWidth="1"/>
    <col min="27" max="27" width="4.140625" style="72" customWidth="1"/>
    <col min="28" max="36" width="4" style="72" customWidth="1"/>
    <col min="37" max="16384" width="9.140625" style="72"/>
  </cols>
  <sheetData>
    <row r="1" spans="3:36" ht="18" thickBot="1" x14ac:dyDescent="0.3"/>
    <row r="2" spans="3:36" ht="18.75" thickBot="1" x14ac:dyDescent="0.3">
      <c r="C2" s="613" t="s">
        <v>71</v>
      </c>
      <c r="D2" s="614"/>
      <c r="E2" s="614"/>
      <c r="F2" s="614"/>
      <c r="G2" s="614"/>
      <c r="H2" s="614"/>
      <c r="I2" s="614"/>
      <c r="J2" s="614"/>
      <c r="K2" s="614"/>
      <c r="L2" s="614"/>
      <c r="M2" s="615"/>
      <c r="N2" s="615"/>
      <c r="O2" s="615"/>
      <c r="P2" s="615"/>
      <c r="Q2" s="615"/>
      <c r="R2" s="615"/>
      <c r="S2" s="614"/>
      <c r="T2" s="614"/>
      <c r="U2" s="614"/>
      <c r="V2" s="614"/>
      <c r="W2" s="615"/>
      <c r="X2" s="615"/>
      <c r="Y2" s="615"/>
      <c r="Z2" s="616"/>
      <c r="AA2" s="222">
        <f>payesh!E7</f>
        <v>1</v>
      </c>
      <c r="AB2" s="223">
        <f>payesh!F7</f>
        <v>2</v>
      </c>
      <c r="AC2" s="223">
        <f>payesh!G7</f>
        <v>3</v>
      </c>
      <c r="AD2" s="223">
        <f>payesh!H7</f>
        <v>4</v>
      </c>
      <c r="AE2" s="223">
        <f>payesh!I7</f>
        <v>5</v>
      </c>
      <c r="AF2" s="223">
        <f>payesh!J7</f>
        <v>6</v>
      </c>
      <c r="AG2" s="223">
        <f>payesh!K7</f>
        <v>7</v>
      </c>
      <c r="AH2" s="223">
        <f>payesh!L7</f>
        <v>8</v>
      </c>
      <c r="AI2" s="223">
        <f>payesh!M7</f>
        <v>9</v>
      </c>
      <c r="AJ2" s="223">
        <f>payesh!N7</f>
        <v>10</v>
      </c>
    </row>
    <row r="3" spans="3:36" ht="18.75" customHeight="1" x14ac:dyDescent="0.25">
      <c r="C3" s="617" t="s">
        <v>247</v>
      </c>
      <c r="D3" s="618"/>
      <c r="E3" s="618"/>
      <c r="F3" s="618"/>
      <c r="G3" s="618"/>
      <c r="H3" s="618"/>
      <c r="I3" s="618"/>
      <c r="J3" s="618"/>
      <c r="K3" s="618"/>
      <c r="L3" s="619"/>
      <c r="M3" s="626" t="s">
        <v>269</v>
      </c>
      <c r="N3" s="627"/>
      <c r="O3" s="627"/>
      <c r="P3" s="627"/>
      <c r="Q3" s="627"/>
      <c r="R3" s="628"/>
      <c r="S3" s="618" t="str">
        <f>C3</f>
        <v>شهرستان:</v>
      </c>
      <c r="T3" s="618"/>
      <c r="U3" s="618"/>
      <c r="V3" s="618"/>
      <c r="W3" s="607" t="s">
        <v>272</v>
      </c>
      <c r="X3" s="608"/>
      <c r="Y3" s="608"/>
      <c r="Z3" s="609"/>
      <c r="AA3" s="226" t="str">
        <f>payesh!E5</f>
        <v>سراب قامیش</v>
      </c>
      <c r="AB3" s="181" t="str">
        <f>payesh!F5</f>
        <v>سراب قامیش</v>
      </c>
      <c r="AC3" s="181" t="str">
        <f>payesh!G5</f>
        <v>عیسی آباد</v>
      </c>
      <c r="AD3" s="181" t="str">
        <f>payesh!H5</f>
        <v>قار</v>
      </c>
      <c r="AE3" s="181" t="str">
        <f>payesh!I5</f>
        <v>قار</v>
      </c>
      <c r="AF3" s="181" t="str">
        <f>payesh!J5</f>
        <v>قار</v>
      </c>
      <c r="AG3" s="181" t="str">
        <f>payesh!K5</f>
        <v>قار</v>
      </c>
      <c r="AH3" s="181">
        <f>payesh!L5</f>
        <v>0</v>
      </c>
      <c r="AI3" s="181">
        <f>payesh!M5</f>
        <v>0</v>
      </c>
      <c r="AJ3" s="181">
        <f>payesh!N5</f>
        <v>0</v>
      </c>
    </row>
    <row r="4" spans="3:36" ht="25.5" thickBot="1" x14ac:dyDescent="0.3">
      <c r="C4" s="620" t="str">
        <f>payesh!E4</f>
        <v>سنندج</v>
      </c>
      <c r="D4" s="621"/>
      <c r="E4" s="621"/>
      <c r="F4" s="621"/>
      <c r="G4" s="621"/>
      <c r="H4" s="621"/>
      <c r="I4" s="621"/>
      <c r="J4" s="621"/>
      <c r="K4" s="621"/>
      <c r="L4" s="622"/>
      <c r="M4" s="629"/>
      <c r="N4" s="630"/>
      <c r="O4" s="630"/>
      <c r="P4" s="630"/>
      <c r="Q4" s="630"/>
      <c r="R4" s="631"/>
      <c r="S4" s="621" t="str">
        <f>C4</f>
        <v>سنندج</v>
      </c>
      <c r="T4" s="621"/>
      <c r="U4" s="621"/>
      <c r="V4" s="621"/>
      <c r="W4" s="610"/>
      <c r="X4" s="611"/>
      <c r="Y4" s="611"/>
      <c r="Z4" s="612"/>
      <c r="AA4" s="227" t="str">
        <f>payesh!E6</f>
        <v>گولان</v>
      </c>
      <c r="AB4" s="182" t="str">
        <f>payesh!F6</f>
        <v>چيا</v>
      </c>
      <c r="AC4" s="182" t="str">
        <f>payesh!G6</f>
        <v>مرجان</v>
      </c>
      <c r="AD4" s="182" t="str">
        <f>payesh!H6</f>
        <v>رمضان</v>
      </c>
      <c r="AE4" s="182" t="str">
        <f>payesh!I6</f>
        <v xml:space="preserve"> رز</v>
      </c>
      <c r="AF4" s="182" t="str">
        <f>payesh!J6</f>
        <v>امانت</v>
      </c>
      <c r="AG4" s="182" t="str">
        <f>payesh!K6</f>
        <v>ياس</v>
      </c>
      <c r="AH4" s="182">
        <f>payesh!L6</f>
        <v>0</v>
      </c>
      <c r="AI4" s="182">
        <f>payesh!M6</f>
        <v>0</v>
      </c>
      <c r="AJ4" s="182">
        <f>payesh!N6</f>
        <v>0</v>
      </c>
    </row>
    <row r="5" spans="3:36" ht="79.5" thickBot="1" x14ac:dyDescent="0.3">
      <c r="C5" s="157" t="s">
        <v>248</v>
      </c>
      <c r="D5" s="158" t="s">
        <v>249</v>
      </c>
      <c r="E5" s="158" t="s">
        <v>250</v>
      </c>
      <c r="F5" s="197" t="s">
        <v>273</v>
      </c>
      <c r="G5" s="196" t="s">
        <v>251</v>
      </c>
      <c r="H5" s="159" t="s">
        <v>252</v>
      </c>
      <c r="I5" s="159" t="s">
        <v>253</v>
      </c>
      <c r="J5" s="159" t="s">
        <v>254</v>
      </c>
      <c r="K5" s="159" t="s">
        <v>255</v>
      </c>
      <c r="L5" s="172" t="s">
        <v>256</v>
      </c>
      <c r="M5" s="177" t="s">
        <v>90</v>
      </c>
      <c r="N5" s="178" t="s">
        <v>252</v>
      </c>
      <c r="O5" s="178" t="s">
        <v>253</v>
      </c>
      <c r="P5" s="178" t="s">
        <v>254</v>
      </c>
      <c r="Q5" s="178" t="s">
        <v>255</v>
      </c>
      <c r="R5" s="179" t="s">
        <v>256</v>
      </c>
      <c r="S5" s="174" t="s">
        <v>251</v>
      </c>
      <c r="T5" s="168" t="s">
        <v>270</v>
      </c>
      <c r="U5" s="168" t="s">
        <v>271</v>
      </c>
      <c r="V5" s="169" t="s">
        <v>256</v>
      </c>
      <c r="W5" s="210" t="s">
        <v>90</v>
      </c>
      <c r="X5" s="211" t="s">
        <v>270</v>
      </c>
      <c r="Y5" s="211" t="s">
        <v>271</v>
      </c>
      <c r="Z5" s="221" t="s">
        <v>256</v>
      </c>
      <c r="AA5" s="228" t="str">
        <f>payesh!E18</f>
        <v>پ12</v>
      </c>
      <c r="AB5" s="229" t="str">
        <f>payesh!F18</f>
        <v>پ12</v>
      </c>
      <c r="AC5" s="229" t="str">
        <f>payesh!G18</f>
        <v>پ12</v>
      </c>
      <c r="AD5" s="229" t="str">
        <f>payesh!H18</f>
        <v>پ12</v>
      </c>
      <c r="AE5" s="229" t="str">
        <f>payesh!I18</f>
        <v>پ12</v>
      </c>
      <c r="AF5" s="229" t="str">
        <f>payesh!J18</f>
        <v>پ12</v>
      </c>
      <c r="AG5" s="229" t="str">
        <f>payesh!K18</f>
        <v>پ12</v>
      </c>
      <c r="AH5" s="229">
        <f>payesh!L18</f>
        <v>0</v>
      </c>
      <c r="AI5" s="229">
        <f>payesh!M18</f>
        <v>0</v>
      </c>
      <c r="AJ5" s="229">
        <f>payesh!N18</f>
        <v>0</v>
      </c>
    </row>
    <row r="6" spans="3:36" ht="35.25" customHeight="1" x14ac:dyDescent="0.25">
      <c r="C6" s="160">
        <v>1</v>
      </c>
      <c r="D6" s="161" t="s">
        <v>257</v>
      </c>
      <c r="E6" s="161" t="s">
        <v>258</v>
      </c>
      <c r="F6" s="198" t="s">
        <v>275</v>
      </c>
      <c r="G6" s="175">
        <v>0.15</v>
      </c>
      <c r="H6" s="162">
        <f>L6*0.5</f>
        <v>1050000</v>
      </c>
      <c r="I6" s="162">
        <f>L6*0.17857143</f>
        <v>375000.00300000003</v>
      </c>
      <c r="J6" s="162">
        <f>L6*0.17142857</f>
        <v>359999.99700000003</v>
      </c>
      <c r="K6" s="162">
        <f t="shared" ref="K6:K11" si="0">L6*0.15</f>
        <v>315000</v>
      </c>
      <c r="L6" s="180">
        <f>L12*G6</f>
        <v>2100000</v>
      </c>
      <c r="M6" s="201">
        <f t="shared" ref="M6:M11" si="1">SUM(AA6:AJ6)</f>
        <v>0</v>
      </c>
      <c r="N6" s="200">
        <f>$M$6*H6</f>
        <v>0</v>
      </c>
      <c r="O6" s="165">
        <f>$M$6*I6</f>
        <v>0</v>
      </c>
      <c r="P6" s="165">
        <f>$M$6*J6</f>
        <v>0</v>
      </c>
      <c r="Q6" s="165">
        <f>$M$6*K6</f>
        <v>0</v>
      </c>
      <c r="R6" s="166">
        <f>SUM(N6:Q6)</f>
        <v>0</v>
      </c>
      <c r="S6" s="204">
        <v>0.15</v>
      </c>
      <c r="T6" s="203">
        <f>(V6/4)*3</f>
        <v>315000</v>
      </c>
      <c r="U6" s="170">
        <f>(V6/4)</f>
        <v>105000</v>
      </c>
      <c r="V6" s="171">
        <f>V12*S6</f>
        <v>420000</v>
      </c>
      <c r="W6" s="201">
        <f t="shared" ref="W6:W11" si="2">SUM(AA6:AJ6)</f>
        <v>0</v>
      </c>
      <c r="X6" s="230">
        <f>$W$6*T6</f>
        <v>0</v>
      </c>
      <c r="Y6" s="216">
        <f>$W$6*U6</f>
        <v>0</v>
      </c>
      <c r="Z6" s="218">
        <f>SUM(X6:Y6)</f>
        <v>0</v>
      </c>
      <c r="AA6" s="224">
        <f>IF(payesh!E147=$F$6,1,IF(payesh!E147="کسر شد",-1,0))</f>
        <v>0</v>
      </c>
      <c r="AB6" s="225">
        <f>IF(payesh!F147=$F$6,1,IF(payesh!F147="کسر شد",-1,0))</f>
        <v>0</v>
      </c>
      <c r="AC6" s="225">
        <f>IF(payesh!G147=$F$6,1,IF(payesh!G147="کسر شد",-1,0))</f>
        <v>0</v>
      </c>
      <c r="AD6" s="225">
        <f>IF(payesh!H147=$F$6,1,IF(payesh!H147="کسر شد",-1,0))</f>
        <v>0</v>
      </c>
      <c r="AE6" s="225">
        <f>IF(payesh!I147=$F$6,1,IF(payesh!I147="کسر شد",-1,0))</f>
        <v>0</v>
      </c>
      <c r="AF6" s="225">
        <f>IF(payesh!J147=$F$6,1,IF(payesh!J147="کسر شد",-1,0))</f>
        <v>0</v>
      </c>
      <c r="AG6" s="225">
        <f>IF(payesh!K147=$F$6,1,IF(payesh!K147="کسر شد",-1,0))</f>
        <v>0</v>
      </c>
      <c r="AH6" s="225">
        <f>IF(payesh!L147=$F$6,1,IF(payesh!L147="کسر شد",-1,0))</f>
        <v>0</v>
      </c>
      <c r="AI6" s="225">
        <f>IF(payesh!M147=$F$6,1,IF(payesh!M147="کسر شد",-1,0))</f>
        <v>0</v>
      </c>
      <c r="AJ6" s="225">
        <f>IF(payesh!N147=$F$6,1,IF(payesh!N147="کسر شد",-1,0))</f>
        <v>0</v>
      </c>
    </row>
    <row r="7" spans="3:36" ht="44.25" customHeight="1" x14ac:dyDescent="0.25">
      <c r="C7" s="160">
        <v>2</v>
      </c>
      <c r="D7" s="161" t="s">
        <v>259</v>
      </c>
      <c r="E7" s="161" t="s">
        <v>260</v>
      </c>
      <c r="F7" s="198" t="s">
        <v>274</v>
      </c>
      <c r="G7" s="175">
        <v>0.2</v>
      </c>
      <c r="H7" s="162">
        <f t="shared" ref="H7:H11" si="3">L7*0.5</f>
        <v>1400000</v>
      </c>
      <c r="I7" s="162">
        <f>L7*0.17857143</f>
        <v>500000.00400000002</v>
      </c>
      <c r="J7" s="162">
        <f t="shared" ref="J7:J11" si="4">L7*0.17142857</f>
        <v>479999.99599999998</v>
      </c>
      <c r="K7" s="162">
        <f t="shared" si="0"/>
        <v>420000</v>
      </c>
      <c r="L7" s="173">
        <f>L12*G7</f>
        <v>2800000</v>
      </c>
      <c r="M7" s="202">
        <f t="shared" si="1"/>
        <v>0</v>
      </c>
      <c r="N7" s="200">
        <f>$M$7*H7</f>
        <v>0</v>
      </c>
      <c r="O7" s="165">
        <f t="shared" ref="O7:Q7" si="5">$M$7*I7</f>
        <v>0</v>
      </c>
      <c r="P7" s="165">
        <f t="shared" si="5"/>
        <v>0</v>
      </c>
      <c r="Q7" s="165">
        <f t="shared" si="5"/>
        <v>0</v>
      </c>
      <c r="R7" s="166">
        <f t="shared" ref="R7:R11" si="6">SUM(N7:Q7)</f>
        <v>0</v>
      </c>
      <c r="S7" s="205">
        <v>0.2</v>
      </c>
      <c r="T7" s="203">
        <f>(V7/4)*3</f>
        <v>420000</v>
      </c>
      <c r="U7" s="170">
        <f t="shared" ref="U7:U11" si="7">(V7/4)</f>
        <v>140000</v>
      </c>
      <c r="V7" s="171">
        <f>V12*S7</f>
        <v>560000</v>
      </c>
      <c r="W7" s="233">
        <f t="shared" si="2"/>
        <v>0</v>
      </c>
      <c r="X7" s="231">
        <f>$W$7*T7</f>
        <v>0</v>
      </c>
      <c r="Y7" s="215">
        <f>$W$7*U7</f>
        <v>0</v>
      </c>
      <c r="Z7" s="219">
        <f t="shared" ref="Z7:Z11" si="8">SUM(X7:Y7)</f>
        <v>0</v>
      </c>
      <c r="AA7" s="183">
        <f>IF(payesh!E148=$F$7,1,IF(payesh!E148="کسر شد",-1,0))</f>
        <v>0</v>
      </c>
      <c r="AB7" s="184">
        <f>IF(payesh!F148=$F$7,1,IF(payesh!F148="کسر شد",-1,0))</f>
        <v>0</v>
      </c>
      <c r="AC7" s="184">
        <f>IF(payesh!G148=$F$7,1,IF(payesh!G148="کسر شد",-1,0))</f>
        <v>0</v>
      </c>
      <c r="AD7" s="184">
        <f>IF(payesh!H148=$F$7,1,IF(payesh!H148="کسر شد",-1,0))</f>
        <v>0</v>
      </c>
      <c r="AE7" s="184">
        <f>IF(payesh!I148=$F$7,1,IF(payesh!I148="کسر شد",-1,0))</f>
        <v>0</v>
      </c>
      <c r="AF7" s="184">
        <f>IF(payesh!J148=$F$7,1,IF(payesh!J148="کسر شد",-1,0))</f>
        <v>0</v>
      </c>
      <c r="AG7" s="184">
        <f>IF(payesh!K148=$F$7,1,IF(payesh!K148="کسر شد",-1,0))</f>
        <v>0</v>
      </c>
      <c r="AH7" s="184">
        <f>IF(payesh!L148=$F$7,1,IF(payesh!L148="کسر شد",-1,0))</f>
        <v>0</v>
      </c>
      <c r="AI7" s="184">
        <f>IF(payesh!M148=$F$7,1,IF(payesh!M148="کسر شد",-1,0))</f>
        <v>0</v>
      </c>
      <c r="AJ7" s="184">
        <f>IF(payesh!N148=$F$7,1,IF(payesh!N148="کسر شد",-1,0))</f>
        <v>0</v>
      </c>
    </row>
    <row r="8" spans="3:36" ht="48.75" customHeight="1" x14ac:dyDescent="0.25">
      <c r="C8" s="160">
        <v>3</v>
      </c>
      <c r="D8" s="161" t="s">
        <v>261</v>
      </c>
      <c r="E8" s="161" t="s">
        <v>262</v>
      </c>
      <c r="F8" s="198" t="s">
        <v>276</v>
      </c>
      <c r="G8" s="175">
        <v>0.25</v>
      </c>
      <c r="H8" s="162">
        <f t="shared" si="3"/>
        <v>1750000</v>
      </c>
      <c r="I8" s="162">
        <f t="shared" ref="I8:I11" si="9">L8*0.17857143</f>
        <v>625000.005</v>
      </c>
      <c r="J8" s="162">
        <f>L8*0.17142857</f>
        <v>599999.995</v>
      </c>
      <c r="K8" s="162">
        <f t="shared" si="0"/>
        <v>525000</v>
      </c>
      <c r="L8" s="173">
        <f>L12*G8</f>
        <v>3500000</v>
      </c>
      <c r="M8" s="202">
        <f t="shared" si="1"/>
        <v>0</v>
      </c>
      <c r="N8" s="200">
        <f>$M$8*H8</f>
        <v>0</v>
      </c>
      <c r="O8" s="165">
        <f t="shared" ref="O8:Q8" si="10">$M$8*I8</f>
        <v>0</v>
      </c>
      <c r="P8" s="165">
        <f t="shared" si="10"/>
        <v>0</v>
      </c>
      <c r="Q8" s="165">
        <f t="shared" si="10"/>
        <v>0</v>
      </c>
      <c r="R8" s="166">
        <f t="shared" si="6"/>
        <v>0</v>
      </c>
      <c r="S8" s="205">
        <v>0.25</v>
      </c>
      <c r="T8" s="203">
        <f t="shared" ref="T8:T11" si="11">(V8/4)*3</f>
        <v>525000</v>
      </c>
      <c r="U8" s="170">
        <f t="shared" si="7"/>
        <v>175000</v>
      </c>
      <c r="V8" s="171">
        <f>V12*S8</f>
        <v>700000</v>
      </c>
      <c r="W8" s="233">
        <f t="shared" si="2"/>
        <v>0</v>
      </c>
      <c r="X8" s="231">
        <f>$W$8*T8</f>
        <v>0</v>
      </c>
      <c r="Y8" s="215">
        <f>$W$8*U8</f>
        <v>0</v>
      </c>
      <c r="Z8" s="219">
        <f t="shared" si="8"/>
        <v>0</v>
      </c>
      <c r="AA8" s="183">
        <f>IF(payesh!E149=$F$8,1,IF(payesh!E149="کسر شد",-1,0))</f>
        <v>0</v>
      </c>
      <c r="AB8" s="184">
        <f>IF(payesh!F149=$F$8,1,IF(payesh!F149="کسر شد",-1,0))</f>
        <v>0</v>
      </c>
      <c r="AC8" s="184">
        <f>IF(payesh!G149=$F$8,1,IF(payesh!G149="کسر شد",-1,0))</f>
        <v>0</v>
      </c>
      <c r="AD8" s="184">
        <f>IF(payesh!H149=$F$8,1,IF(payesh!H149="کسر شد",-1,0))</f>
        <v>0</v>
      </c>
      <c r="AE8" s="184">
        <f>IF(payesh!I149=$F$8,1,IF(payesh!I149="کسر شد",-1,0))</f>
        <v>0</v>
      </c>
      <c r="AF8" s="184">
        <f>IF(payesh!J149=$F$8,1,IF(payesh!J149="کسر شد",-1,0))</f>
        <v>0</v>
      </c>
      <c r="AG8" s="184">
        <f>IF(payesh!K149=$F$8,1,IF(payesh!K149="کسر شد",-1,0))</f>
        <v>0</v>
      </c>
      <c r="AH8" s="184">
        <f>IF(payesh!L149=$F$8,1,IF(payesh!L149="کسر شد",-1,0))</f>
        <v>0</v>
      </c>
      <c r="AI8" s="184">
        <f>IF(payesh!M149=$F$8,1,IF(payesh!M149="کسر شد",-1,0))</f>
        <v>0</v>
      </c>
      <c r="AJ8" s="184">
        <f>IF(payesh!N149=$F$8,1,IF(payesh!N149="کسر شد",-1,0))</f>
        <v>0</v>
      </c>
    </row>
    <row r="9" spans="3:36" ht="32.25" customHeight="1" x14ac:dyDescent="0.25">
      <c r="C9" s="160">
        <v>4</v>
      </c>
      <c r="D9" s="161" t="s">
        <v>263</v>
      </c>
      <c r="E9" s="161" t="s">
        <v>264</v>
      </c>
      <c r="F9" s="198" t="s">
        <v>277</v>
      </c>
      <c r="G9" s="175">
        <v>0.2</v>
      </c>
      <c r="H9" s="162">
        <f t="shared" si="3"/>
        <v>1400000</v>
      </c>
      <c r="I9" s="162">
        <f t="shared" si="9"/>
        <v>500000.00400000002</v>
      </c>
      <c r="J9" s="162">
        <f t="shared" si="4"/>
        <v>479999.99599999998</v>
      </c>
      <c r="K9" s="162">
        <f t="shared" si="0"/>
        <v>420000</v>
      </c>
      <c r="L9" s="173">
        <f>L12*G9</f>
        <v>2800000</v>
      </c>
      <c r="M9" s="202">
        <f t="shared" si="1"/>
        <v>0</v>
      </c>
      <c r="N9" s="200">
        <f>$M$9*H9</f>
        <v>0</v>
      </c>
      <c r="O9" s="165">
        <f t="shared" ref="O9:Q9" si="12">$M$9*I9</f>
        <v>0</v>
      </c>
      <c r="P9" s="165">
        <f t="shared" si="12"/>
        <v>0</v>
      </c>
      <c r="Q9" s="165">
        <f t="shared" si="12"/>
        <v>0</v>
      </c>
      <c r="R9" s="166">
        <f t="shared" si="6"/>
        <v>0</v>
      </c>
      <c r="S9" s="205">
        <v>0.2</v>
      </c>
      <c r="T9" s="203">
        <f t="shared" si="11"/>
        <v>420000</v>
      </c>
      <c r="U9" s="170">
        <f t="shared" si="7"/>
        <v>140000</v>
      </c>
      <c r="V9" s="171">
        <f>V12*S9</f>
        <v>560000</v>
      </c>
      <c r="W9" s="233">
        <f t="shared" si="2"/>
        <v>0</v>
      </c>
      <c r="X9" s="231">
        <f>$W$9*T9</f>
        <v>0</v>
      </c>
      <c r="Y9" s="215">
        <f>$W$9*U9</f>
        <v>0</v>
      </c>
      <c r="Z9" s="219">
        <f t="shared" si="8"/>
        <v>0</v>
      </c>
      <c r="AA9" s="183">
        <f>IF(payesh!E150=$F$9,1,IF(payesh!E150="کسر شد",-1,0))</f>
        <v>0</v>
      </c>
      <c r="AB9" s="184">
        <f>IF(payesh!F150=$F$9,1,IF(payesh!F150="کسر شد",-1,0))</f>
        <v>0</v>
      </c>
      <c r="AC9" s="184">
        <f>IF(payesh!G150=$F$9,1,IF(payesh!G150="کسر شد",-1,0))</f>
        <v>0</v>
      </c>
      <c r="AD9" s="184">
        <f>IF(payesh!H150=$F$9,1,IF(payesh!H150="کسر شد",-1,0))</f>
        <v>0</v>
      </c>
      <c r="AE9" s="184">
        <f>IF(payesh!I150=$F$9,1,IF(payesh!I150="کسر شد",-1,0))</f>
        <v>0</v>
      </c>
      <c r="AF9" s="184">
        <f>IF(payesh!J150=$F$9,1,IF(payesh!J150="کسر شد",-1,0))</f>
        <v>0</v>
      </c>
      <c r="AG9" s="184">
        <f>IF(payesh!K150=$F$9,1,IF(payesh!K150="کسر شد",-1,0))</f>
        <v>0</v>
      </c>
      <c r="AH9" s="184">
        <f>IF(payesh!L150=$F$9,1,IF(payesh!L150="کسر شد",-1,0))</f>
        <v>0</v>
      </c>
      <c r="AI9" s="184">
        <f>IF(payesh!M150=$F$9,1,IF(payesh!M150="کسر شد",-1,0))</f>
        <v>0</v>
      </c>
      <c r="AJ9" s="184">
        <f>IF(payesh!N150=$F$9,1,IF(payesh!N150="کسر شد",-1,0))</f>
        <v>0</v>
      </c>
    </row>
    <row r="10" spans="3:36" ht="44.25" customHeight="1" x14ac:dyDescent="0.25">
      <c r="C10" s="160">
        <v>5</v>
      </c>
      <c r="D10" s="161" t="s">
        <v>265</v>
      </c>
      <c r="E10" s="161" t="s">
        <v>266</v>
      </c>
      <c r="F10" s="198" t="s">
        <v>278</v>
      </c>
      <c r="G10" s="175">
        <v>0.15</v>
      </c>
      <c r="H10" s="162">
        <f t="shared" si="3"/>
        <v>1050000</v>
      </c>
      <c r="I10" s="162">
        <f t="shared" si="9"/>
        <v>375000.00300000003</v>
      </c>
      <c r="J10" s="162">
        <f t="shared" si="4"/>
        <v>359999.99700000003</v>
      </c>
      <c r="K10" s="162">
        <f t="shared" si="0"/>
        <v>315000</v>
      </c>
      <c r="L10" s="173">
        <f>L12*G10</f>
        <v>2100000</v>
      </c>
      <c r="M10" s="202">
        <f t="shared" si="1"/>
        <v>0</v>
      </c>
      <c r="N10" s="200">
        <f>$M$10*H10</f>
        <v>0</v>
      </c>
      <c r="O10" s="165">
        <f t="shared" ref="O10:Q10" si="13">$M$10*I10</f>
        <v>0</v>
      </c>
      <c r="P10" s="165">
        <f t="shared" si="13"/>
        <v>0</v>
      </c>
      <c r="Q10" s="165">
        <f t="shared" si="13"/>
        <v>0</v>
      </c>
      <c r="R10" s="166">
        <f t="shared" si="6"/>
        <v>0</v>
      </c>
      <c r="S10" s="205">
        <v>0.15</v>
      </c>
      <c r="T10" s="203">
        <f t="shared" si="11"/>
        <v>315000</v>
      </c>
      <c r="U10" s="170">
        <f t="shared" si="7"/>
        <v>105000</v>
      </c>
      <c r="V10" s="171">
        <f>V12*S10</f>
        <v>420000</v>
      </c>
      <c r="W10" s="233">
        <f t="shared" si="2"/>
        <v>0</v>
      </c>
      <c r="X10" s="231">
        <f>$W$10*T10</f>
        <v>0</v>
      </c>
      <c r="Y10" s="215">
        <f>$W$10*U10</f>
        <v>0</v>
      </c>
      <c r="Z10" s="219">
        <f t="shared" si="8"/>
        <v>0</v>
      </c>
      <c r="AA10" s="183">
        <f>IF(payesh!E151=$F$10,1,IF(payesh!E151="کسر شد",-1,0))</f>
        <v>0</v>
      </c>
      <c r="AB10" s="184">
        <f>IF(payesh!F151=$F$10,1,IF(payesh!F151="کسر شد",-1,0))</f>
        <v>0</v>
      </c>
      <c r="AC10" s="184">
        <f>IF(payesh!G151=$F$10,1,IF(payesh!G151="کسر شد",-1,0))</f>
        <v>0</v>
      </c>
      <c r="AD10" s="184">
        <f>IF(payesh!H151=$F$10,1,IF(payesh!H151="کسر شد",-1,0))</f>
        <v>0</v>
      </c>
      <c r="AE10" s="184">
        <f>IF(payesh!I151=$F$10,1,IF(payesh!I151="کسر شد",-1,0))</f>
        <v>0</v>
      </c>
      <c r="AF10" s="184">
        <f>IF(payesh!J151=$F$10,1,IF(payesh!J151="کسر شد",-1,0))</f>
        <v>0</v>
      </c>
      <c r="AG10" s="184">
        <f>IF(payesh!K151=$F$10,1,IF(payesh!K151="کسر شد",-1,0))</f>
        <v>0</v>
      </c>
      <c r="AH10" s="184">
        <f>IF(payesh!L151=$F$10,1,IF(payesh!L151="کسر شد",-1,0))</f>
        <v>0</v>
      </c>
      <c r="AI10" s="184">
        <f>IF(payesh!M151=$F$10,1,IF(payesh!M151="کسر شد",-1,0))</f>
        <v>0</v>
      </c>
      <c r="AJ10" s="184">
        <f>IF(payesh!N151=$F$10,1,IF(payesh!N151="کسر شد",-1,0))</f>
        <v>0</v>
      </c>
    </row>
    <row r="11" spans="3:36" ht="31.5" customHeight="1" thickBot="1" x14ac:dyDescent="0.3">
      <c r="C11" s="163">
        <v>6</v>
      </c>
      <c r="D11" s="164" t="s">
        <v>267</v>
      </c>
      <c r="E11" s="164" t="s">
        <v>268</v>
      </c>
      <c r="F11" s="199" t="s">
        <v>279</v>
      </c>
      <c r="G11" s="176">
        <v>0.05</v>
      </c>
      <c r="H11" s="189">
        <f t="shared" si="3"/>
        <v>350000</v>
      </c>
      <c r="I11" s="189">
        <f t="shared" si="9"/>
        <v>125000.001</v>
      </c>
      <c r="J11" s="189">
        <f t="shared" si="4"/>
        <v>119999.999</v>
      </c>
      <c r="K11" s="189">
        <f t="shared" si="0"/>
        <v>105000</v>
      </c>
      <c r="L11" s="190">
        <f>L12*G11</f>
        <v>700000</v>
      </c>
      <c r="M11" s="202">
        <f t="shared" si="1"/>
        <v>0</v>
      </c>
      <c r="N11" s="200">
        <f>$M$11*H11</f>
        <v>0</v>
      </c>
      <c r="O11" s="165">
        <f t="shared" ref="O11:Q11" si="14">$M$11*I11</f>
        <v>0</v>
      </c>
      <c r="P11" s="165">
        <f t="shared" si="14"/>
        <v>0</v>
      </c>
      <c r="Q11" s="165">
        <f t="shared" si="14"/>
        <v>0</v>
      </c>
      <c r="R11" s="166">
        <f t="shared" si="6"/>
        <v>0</v>
      </c>
      <c r="S11" s="206">
        <v>0.05</v>
      </c>
      <c r="T11" s="203">
        <f t="shared" si="11"/>
        <v>105000</v>
      </c>
      <c r="U11" s="170">
        <f t="shared" si="7"/>
        <v>35000</v>
      </c>
      <c r="V11" s="171">
        <f>V12*S11</f>
        <v>140000</v>
      </c>
      <c r="W11" s="234">
        <f t="shared" si="2"/>
        <v>0</v>
      </c>
      <c r="X11" s="232">
        <f>$W$11*T11</f>
        <v>0</v>
      </c>
      <c r="Y11" s="217">
        <f>$W$11*U11</f>
        <v>0</v>
      </c>
      <c r="Z11" s="220">
        <f t="shared" si="8"/>
        <v>0</v>
      </c>
      <c r="AA11" s="185">
        <f>IF(payesh!E152=$F$11,1,IF(payesh!E152="کسر شد",-1,0))</f>
        <v>0</v>
      </c>
      <c r="AB11" s="186">
        <f>IF(payesh!F152=$F$11,1,IF(payesh!F152="کسر شد",-1,0))</f>
        <v>0</v>
      </c>
      <c r="AC11" s="186">
        <f>IF(payesh!G152=$F$11,1,IF(payesh!G152="کسر شد",-1,0))</f>
        <v>0</v>
      </c>
      <c r="AD11" s="186">
        <f>IF(payesh!H152=$F$11,1,IF(payesh!H152="کسر شد",-1,0))</f>
        <v>0</v>
      </c>
      <c r="AE11" s="186">
        <f>IF(payesh!I152=$F$11,1,IF(payesh!I152="کسر شد",-1,0))</f>
        <v>0</v>
      </c>
      <c r="AF11" s="186">
        <f>IF(payesh!J152=$F$11,1,IF(payesh!J152="کسر شد",-1,0))</f>
        <v>0</v>
      </c>
      <c r="AG11" s="186">
        <f>IF(payesh!K152=$F$11,1,IF(payesh!K152="کسر شد",-1,0))</f>
        <v>0</v>
      </c>
      <c r="AH11" s="186">
        <f>IF(payesh!L152=$F$11,1,IF(payesh!L152="کسر شد",-1,0))</f>
        <v>0</v>
      </c>
      <c r="AI11" s="186">
        <f>IF(payesh!M152=$F$11,1,IF(payesh!M152="کسر شد",-1,0))</f>
        <v>0</v>
      </c>
      <c r="AJ11" s="186">
        <f>IF(payesh!N152=$F$11,1,IF(payesh!N152="کسر شد",-1,0))</f>
        <v>0</v>
      </c>
    </row>
    <row r="12" spans="3:36" ht="19.5" thickBot="1" x14ac:dyDescent="0.3">
      <c r="C12" s="623" t="s">
        <v>90</v>
      </c>
      <c r="D12" s="624"/>
      <c r="E12" s="624"/>
      <c r="F12" s="625"/>
      <c r="G12" s="193">
        <f t="shared" ref="G12:K12" si="15">SUM(G6:G11)</f>
        <v>1</v>
      </c>
      <c r="H12" s="191">
        <f>SUM(H6:H11)</f>
        <v>7000000</v>
      </c>
      <c r="I12" s="191">
        <f t="shared" si="15"/>
        <v>2500000.0200000005</v>
      </c>
      <c r="J12" s="191">
        <f t="shared" si="15"/>
        <v>2399999.98</v>
      </c>
      <c r="K12" s="191">
        <f t="shared" si="15"/>
        <v>2100000</v>
      </c>
      <c r="L12" s="192">
        <v>14000000</v>
      </c>
      <c r="M12" s="187">
        <f>SUM(M6:M11)</f>
        <v>0</v>
      </c>
      <c r="N12" s="167">
        <f>SUM(N6:N11)</f>
        <v>0</v>
      </c>
      <c r="O12" s="167">
        <f t="shared" ref="O12:Q12" si="16">SUM(O6:O11)</f>
        <v>0</v>
      </c>
      <c r="P12" s="167">
        <f t="shared" si="16"/>
        <v>0</v>
      </c>
      <c r="Q12" s="167">
        <f t="shared" si="16"/>
        <v>0</v>
      </c>
      <c r="R12" s="188">
        <f>SUM(R6:R11)</f>
        <v>0</v>
      </c>
      <c r="S12" s="193">
        <f t="shared" ref="S12:Z12" si="17">SUM(S6:S11)</f>
        <v>1</v>
      </c>
      <c r="T12" s="194">
        <f t="shared" si="17"/>
        <v>2100000</v>
      </c>
      <c r="U12" s="194">
        <f t="shared" si="17"/>
        <v>700000</v>
      </c>
      <c r="V12" s="195">
        <v>2800000</v>
      </c>
      <c r="W12" s="212">
        <f>SUM(W6:W11)</f>
        <v>0</v>
      </c>
      <c r="X12" s="213">
        <f t="shared" si="17"/>
        <v>0</v>
      </c>
      <c r="Y12" s="213">
        <f t="shared" si="17"/>
        <v>0</v>
      </c>
      <c r="Z12" s="214">
        <f t="shared" si="17"/>
        <v>0</v>
      </c>
    </row>
    <row r="13" spans="3:36" x14ac:dyDescent="0.25">
      <c r="L13" s="156"/>
      <c r="V13" s="156"/>
    </row>
    <row r="15" spans="3:36" x14ac:dyDescent="0.25">
      <c r="L15" s="156"/>
    </row>
    <row r="16" spans="3:36" x14ac:dyDescent="0.25">
      <c r="L16" s="156"/>
      <c r="O16" s="156"/>
    </row>
    <row r="17" spans="12:15" x14ac:dyDescent="0.25">
      <c r="L17" s="156"/>
      <c r="O17" s="156"/>
    </row>
    <row r="18" spans="12:15" x14ac:dyDescent="0.25">
      <c r="L18" s="156"/>
      <c r="O18" s="156"/>
    </row>
    <row r="19" spans="12:15" x14ac:dyDescent="0.25">
      <c r="L19" s="156"/>
    </row>
    <row r="20" spans="12:15" x14ac:dyDescent="0.25">
      <c r="L20" s="156"/>
    </row>
  </sheetData>
  <sheetProtection algorithmName="SHA-512" hashValue="riSQ/W5ewtGUdGHaIy5T/FyIltuaWd/KDDqoqqu2wmzWlZBfxpgsdiYYXxpgpWiL/UMLwe4PIlgwy8V4r7v9eQ==" saltValue="Rs2+6N67N4JRPSxUPFw9i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16"/>
  <sheetViews>
    <sheetView rightToLeft="1" workbookViewId="0">
      <selection activeCell="N1" sqref="N1:EC1048576"/>
    </sheetView>
  </sheetViews>
  <sheetFormatPr defaultColWidth="9.140625" defaultRowHeight="17.25" x14ac:dyDescent="0.4"/>
  <cols>
    <col min="1" max="1" width="1.28515625" style="415" customWidth="1"/>
    <col min="2" max="2" width="2.42578125" style="415" customWidth="1"/>
    <col min="3" max="3" width="15.140625" style="443" customWidth="1"/>
    <col min="4" max="12" width="2.28515625" style="86" customWidth="1"/>
    <col min="13" max="13" width="2.7109375" style="86" customWidth="1"/>
    <col min="14" max="14" width="3.42578125" style="415" customWidth="1"/>
    <col min="15" max="15" width="11" style="415" customWidth="1"/>
    <col min="16" max="16" width="11.140625" style="415" customWidth="1"/>
    <col min="17" max="17" width="11.42578125" style="415" customWidth="1"/>
    <col min="18" max="18" width="11.85546875" style="415" customWidth="1"/>
    <col min="19" max="19" width="13.140625" style="444" customWidth="1"/>
    <col min="20" max="20" width="8.28515625" style="415" customWidth="1"/>
    <col min="21" max="21" width="10.140625" style="415" customWidth="1"/>
    <col min="22" max="23" width="12.42578125" style="415" customWidth="1"/>
    <col min="24" max="16384" width="9.140625" style="415"/>
  </cols>
  <sheetData>
    <row r="1" spans="2:23" ht="18" thickBot="1" x14ac:dyDescent="0.45">
      <c r="B1" s="411"/>
      <c r="C1" s="412"/>
      <c r="D1" s="413"/>
      <c r="E1" s="413"/>
      <c r="F1" s="413"/>
      <c r="G1" s="413"/>
      <c r="H1" s="413"/>
      <c r="I1" s="413"/>
      <c r="J1" s="413"/>
      <c r="K1" s="413"/>
      <c r="L1" s="413"/>
      <c r="M1" s="413"/>
      <c r="N1" s="411"/>
      <c r="O1" s="411"/>
      <c r="P1" s="411"/>
      <c r="Q1" s="411"/>
      <c r="R1" s="411"/>
      <c r="S1" s="414"/>
    </row>
    <row r="2" spans="2:23" ht="21" thickBot="1" x14ac:dyDescent="0.55000000000000004">
      <c r="B2" s="652" t="s">
        <v>426</v>
      </c>
      <c r="C2" s="653"/>
      <c r="D2" s="654"/>
      <c r="E2" s="654"/>
      <c r="F2" s="654"/>
      <c r="G2" s="654"/>
      <c r="H2" s="654"/>
      <c r="I2" s="654"/>
      <c r="J2" s="654"/>
      <c r="K2" s="654"/>
      <c r="L2" s="654"/>
      <c r="M2" s="654"/>
      <c r="N2" s="653"/>
      <c r="O2" s="653"/>
      <c r="P2" s="653"/>
      <c r="Q2" s="653"/>
      <c r="R2" s="653"/>
      <c r="S2" s="655"/>
    </row>
    <row r="3" spans="2:23" ht="19.5" thickBot="1" x14ac:dyDescent="0.45">
      <c r="B3" s="656" t="s">
        <v>248</v>
      </c>
      <c r="C3" s="659" t="s">
        <v>249</v>
      </c>
      <c r="D3" s="416">
        <f>payesh!E7</f>
        <v>1</v>
      </c>
      <c r="E3" s="417">
        <f>payesh!F7</f>
        <v>2</v>
      </c>
      <c r="F3" s="417">
        <f>payesh!G7</f>
        <v>3</v>
      </c>
      <c r="G3" s="417">
        <f>payesh!H7</f>
        <v>4</v>
      </c>
      <c r="H3" s="417">
        <f>payesh!I7</f>
        <v>5</v>
      </c>
      <c r="I3" s="417">
        <f>payesh!J7</f>
        <v>6</v>
      </c>
      <c r="J3" s="417">
        <f>payesh!K7</f>
        <v>7</v>
      </c>
      <c r="K3" s="417">
        <f>payesh!L7</f>
        <v>8</v>
      </c>
      <c r="L3" s="417">
        <f>payesh!M7</f>
        <v>9</v>
      </c>
      <c r="M3" s="417">
        <f>payesh!N7</f>
        <v>10</v>
      </c>
      <c r="N3" s="662" t="s">
        <v>425</v>
      </c>
      <c r="O3" s="662"/>
      <c r="P3" s="662"/>
      <c r="Q3" s="662"/>
      <c r="R3" s="662"/>
      <c r="S3" s="663"/>
      <c r="T3" s="666" t="str">
        <f>N3</f>
        <v>گزارش پیشرفت مالی تا پایان ……….. ماه ……….- (مبالغ به ریال)</v>
      </c>
      <c r="U3" s="667"/>
      <c r="V3" s="667"/>
      <c r="W3" s="668"/>
    </row>
    <row r="4" spans="2:23" x14ac:dyDescent="0.4">
      <c r="B4" s="657"/>
      <c r="C4" s="660"/>
      <c r="D4" s="467" t="str">
        <f>payesh!E5</f>
        <v>سراب قامیش</v>
      </c>
      <c r="E4" s="468" t="str">
        <f>payesh!F5</f>
        <v>سراب قامیش</v>
      </c>
      <c r="F4" s="468" t="str">
        <f>payesh!G5</f>
        <v>عیسی آباد</v>
      </c>
      <c r="G4" s="468" t="str">
        <f>payesh!H5</f>
        <v>قار</v>
      </c>
      <c r="H4" s="468" t="str">
        <f>payesh!I5</f>
        <v>قار</v>
      </c>
      <c r="I4" s="468" t="str">
        <f>payesh!J5</f>
        <v>قار</v>
      </c>
      <c r="J4" s="468" t="str">
        <f>payesh!K5</f>
        <v>قار</v>
      </c>
      <c r="K4" s="468">
        <f>payesh!L5</f>
        <v>0</v>
      </c>
      <c r="L4" s="468">
        <f>payesh!M5</f>
        <v>0</v>
      </c>
      <c r="M4" s="468">
        <f>payesh!N5</f>
        <v>0</v>
      </c>
      <c r="N4" s="669" t="s">
        <v>418</v>
      </c>
      <c r="O4" s="664" t="s">
        <v>252</v>
      </c>
      <c r="P4" s="664" t="s">
        <v>253</v>
      </c>
      <c r="Q4" s="664" t="s">
        <v>254</v>
      </c>
      <c r="R4" s="664" t="s">
        <v>255</v>
      </c>
      <c r="S4" s="664" t="s">
        <v>419</v>
      </c>
      <c r="T4" s="671" t="s">
        <v>90</v>
      </c>
      <c r="U4" s="673" t="s">
        <v>270</v>
      </c>
      <c r="V4" s="673" t="s">
        <v>271</v>
      </c>
      <c r="W4" s="675" t="s">
        <v>256</v>
      </c>
    </row>
    <row r="5" spans="2:23" ht="34.5" customHeight="1" thickBot="1" x14ac:dyDescent="0.45">
      <c r="B5" s="658"/>
      <c r="C5" s="661"/>
      <c r="D5" s="469" t="str">
        <f>payesh!E6</f>
        <v>گولان</v>
      </c>
      <c r="E5" s="470" t="str">
        <f>payesh!F6</f>
        <v>چيا</v>
      </c>
      <c r="F5" s="470" t="str">
        <f>payesh!G6</f>
        <v>مرجان</v>
      </c>
      <c r="G5" s="470" t="str">
        <f>payesh!H6</f>
        <v>رمضان</v>
      </c>
      <c r="H5" s="470" t="str">
        <f>payesh!I6</f>
        <v xml:space="preserve"> رز</v>
      </c>
      <c r="I5" s="470" t="str">
        <f>payesh!J6</f>
        <v>امانت</v>
      </c>
      <c r="J5" s="470" t="str">
        <f>payesh!K6</f>
        <v>ياس</v>
      </c>
      <c r="K5" s="470">
        <f>payesh!L6</f>
        <v>0</v>
      </c>
      <c r="L5" s="470">
        <f>payesh!M6</f>
        <v>0</v>
      </c>
      <c r="M5" s="470">
        <f>payesh!N6</f>
        <v>0</v>
      </c>
      <c r="N5" s="670"/>
      <c r="O5" s="665"/>
      <c r="P5" s="665"/>
      <c r="Q5" s="665"/>
      <c r="R5" s="665"/>
      <c r="S5" s="665"/>
      <c r="T5" s="672"/>
      <c r="U5" s="674"/>
      <c r="V5" s="674"/>
      <c r="W5" s="676"/>
    </row>
    <row r="6" spans="2:23" ht="42.75" x14ac:dyDescent="0.4">
      <c r="B6" s="418">
        <v>1</v>
      </c>
      <c r="C6" s="419" t="s">
        <v>257</v>
      </c>
      <c r="D6" s="420">
        <f>payesh!E147</f>
        <v>0</v>
      </c>
      <c r="E6" s="421">
        <f>payesh!F147</f>
        <v>0</v>
      </c>
      <c r="F6" s="421">
        <f>payesh!G147</f>
        <v>0</v>
      </c>
      <c r="G6" s="421">
        <f>payesh!H147</f>
        <v>0</v>
      </c>
      <c r="H6" s="421">
        <f>payesh!I147</f>
        <v>0</v>
      </c>
      <c r="I6" s="421">
        <f>payesh!J147</f>
        <v>0</v>
      </c>
      <c r="J6" s="421">
        <f>payesh!K147</f>
        <v>0</v>
      </c>
      <c r="K6" s="421">
        <f>payesh!L147</f>
        <v>0</v>
      </c>
      <c r="L6" s="421">
        <f>payesh!M147</f>
        <v>0</v>
      </c>
      <c r="M6" s="421">
        <f>payesh!N147</f>
        <v>0</v>
      </c>
      <c r="N6" s="449">
        <f>COUNTIF(D6:M6,"ب7")</f>
        <v>0</v>
      </c>
      <c r="O6" s="422">
        <f>Pardakhti!N6</f>
        <v>0</v>
      </c>
      <c r="P6" s="423">
        <f>Pardakhti!O6</f>
        <v>0</v>
      </c>
      <c r="Q6" s="423">
        <f>Pardakhti!P6</f>
        <v>0</v>
      </c>
      <c r="R6" s="447">
        <f>Pardakhti!Q6</f>
        <v>0</v>
      </c>
      <c r="S6" s="455">
        <f>SUM(O6:R6)</f>
        <v>0</v>
      </c>
      <c r="T6" s="461">
        <f>COUNTIF(J6:M6,"ب7")</f>
        <v>0</v>
      </c>
      <c r="U6" s="424">
        <f>Pardakhti!X6</f>
        <v>0</v>
      </c>
      <c r="V6" s="425">
        <f>Pardakhti!Y6</f>
        <v>0</v>
      </c>
      <c r="W6" s="445">
        <f>SUM(U6:V6)</f>
        <v>0</v>
      </c>
    </row>
    <row r="7" spans="2:23" ht="57" x14ac:dyDescent="0.4">
      <c r="B7" s="426">
        <v>2</v>
      </c>
      <c r="C7" s="427" t="s">
        <v>259</v>
      </c>
      <c r="D7" s="428">
        <f>payesh!E148</f>
        <v>0</v>
      </c>
      <c r="E7" s="429">
        <f>payesh!F148</f>
        <v>0</v>
      </c>
      <c r="F7" s="429">
        <f>payesh!G148</f>
        <v>0</v>
      </c>
      <c r="G7" s="429">
        <f>payesh!H148</f>
        <v>0</v>
      </c>
      <c r="H7" s="429">
        <f>payesh!I148</f>
        <v>0</v>
      </c>
      <c r="I7" s="429">
        <f>payesh!J148</f>
        <v>0</v>
      </c>
      <c r="J7" s="429">
        <f>payesh!K148</f>
        <v>0</v>
      </c>
      <c r="K7" s="429">
        <f>payesh!L148</f>
        <v>0</v>
      </c>
      <c r="L7" s="429">
        <f>payesh!M148</f>
        <v>0</v>
      </c>
      <c r="M7" s="429">
        <f>payesh!N148</f>
        <v>0</v>
      </c>
      <c r="N7" s="450">
        <f>COUNTIF(D7:M7,"پ9")</f>
        <v>0</v>
      </c>
      <c r="O7" s="430">
        <f>Pardakhti!N7</f>
        <v>0</v>
      </c>
      <c r="P7" s="431">
        <f>Pardakhti!O7</f>
        <v>0</v>
      </c>
      <c r="Q7" s="431">
        <f>Pardakhti!P7</f>
        <v>0</v>
      </c>
      <c r="R7" s="448">
        <f>Pardakhti!Q7</f>
        <v>0</v>
      </c>
      <c r="S7" s="456">
        <f t="shared" ref="S7:S11" si="0">SUM(O7:R7)</f>
        <v>0</v>
      </c>
      <c r="T7" s="462">
        <f>COUNTIF(J7:M7,"پ9")</f>
        <v>0</v>
      </c>
      <c r="U7" s="432">
        <f>Pardakhti!X7</f>
        <v>0</v>
      </c>
      <c r="V7" s="433">
        <f>Pardakhti!Y7</f>
        <v>0</v>
      </c>
      <c r="W7" s="446">
        <f t="shared" ref="W7:W11" si="1">SUM(U7:V7)</f>
        <v>0</v>
      </c>
    </row>
    <row r="8" spans="2:23" ht="57" x14ac:dyDescent="0.4">
      <c r="B8" s="426">
        <v>3</v>
      </c>
      <c r="C8" s="427" t="s">
        <v>261</v>
      </c>
      <c r="D8" s="428">
        <f>payesh!E149</f>
        <v>0</v>
      </c>
      <c r="E8" s="429">
        <f>payesh!F149</f>
        <v>0</v>
      </c>
      <c r="F8" s="429">
        <f>payesh!G149</f>
        <v>0</v>
      </c>
      <c r="G8" s="429">
        <f>payesh!H149</f>
        <v>0</v>
      </c>
      <c r="H8" s="429">
        <f>payesh!I149</f>
        <v>0</v>
      </c>
      <c r="I8" s="429">
        <f>payesh!J149</f>
        <v>0</v>
      </c>
      <c r="J8" s="429">
        <f>payesh!K149</f>
        <v>0</v>
      </c>
      <c r="K8" s="429">
        <f>payesh!L149</f>
        <v>0</v>
      </c>
      <c r="L8" s="429">
        <f>payesh!M149</f>
        <v>0</v>
      </c>
      <c r="M8" s="429">
        <f>payesh!N149</f>
        <v>0</v>
      </c>
      <c r="N8" s="450">
        <f>COUNTIF(D8:M8,"ت1")</f>
        <v>0</v>
      </c>
      <c r="O8" s="430">
        <f>Pardakhti!N8</f>
        <v>0</v>
      </c>
      <c r="P8" s="431">
        <f>Pardakhti!O8</f>
        <v>0</v>
      </c>
      <c r="Q8" s="431">
        <f>Pardakhti!P8</f>
        <v>0</v>
      </c>
      <c r="R8" s="448">
        <f>Pardakhti!Q8</f>
        <v>0</v>
      </c>
      <c r="S8" s="456">
        <f t="shared" si="0"/>
        <v>0</v>
      </c>
      <c r="T8" s="462">
        <f>COUNTIF(J8:M8,"ت1")</f>
        <v>0</v>
      </c>
      <c r="U8" s="432">
        <f>Pardakhti!X8</f>
        <v>0</v>
      </c>
      <c r="V8" s="433">
        <f>Pardakhti!Y8</f>
        <v>0</v>
      </c>
      <c r="W8" s="446">
        <f t="shared" si="1"/>
        <v>0</v>
      </c>
    </row>
    <row r="9" spans="2:23" ht="42.75" x14ac:dyDescent="0.4">
      <c r="B9" s="426">
        <v>4</v>
      </c>
      <c r="C9" s="427" t="s">
        <v>263</v>
      </c>
      <c r="D9" s="428">
        <f>payesh!E150</f>
        <v>0</v>
      </c>
      <c r="E9" s="429">
        <f>payesh!F150</f>
        <v>0</v>
      </c>
      <c r="F9" s="429">
        <f>payesh!G150</f>
        <v>0</v>
      </c>
      <c r="G9" s="429">
        <f>payesh!H150</f>
        <v>0</v>
      </c>
      <c r="H9" s="429">
        <f>payesh!I150</f>
        <v>0</v>
      </c>
      <c r="I9" s="429">
        <f>payesh!J150</f>
        <v>0</v>
      </c>
      <c r="J9" s="429">
        <f>payesh!K150</f>
        <v>0</v>
      </c>
      <c r="K9" s="429">
        <f>payesh!L150</f>
        <v>0</v>
      </c>
      <c r="L9" s="429">
        <f>payesh!M150</f>
        <v>0</v>
      </c>
      <c r="M9" s="429">
        <f>payesh!N150</f>
        <v>0</v>
      </c>
      <c r="N9" s="450">
        <f>COUNTIF(D9:M9,"ت7")</f>
        <v>0</v>
      </c>
      <c r="O9" s="430">
        <f>Pardakhti!N9</f>
        <v>0</v>
      </c>
      <c r="P9" s="431">
        <f>Pardakhti!O9</f>
        <v>0</v>
      </c>
      <c r="Q9" s="431">
        <f>Pardakhti!P9</f>
        <v>0</v>
      </c>
      <c r="R9" s="448">
        <f>Pardakhti!Q9</f>
        <v>0</v>
      </c>
      <c r="S9" s="456">
        <f t="shared" si="0"/>
        <v>0</v>
      </c>
      <c r="T9" s="462">
        <f>COUNTIF(J9:M9,"ت7")</f>
        <v>0</v>
      </c>
      <c r="U9" s="432">
        <f>Pardakhti!X9</f>
        <v>0</v>
      </c>
      <c r="V9" s="433">
        <f>Pardakhti!Y9</f>
        <v>0</v>
      </c>
      <c r="W9" s="446">
        <f t="shared" si="1"/>
        <v>0</v>
      </c>
    </row>
    <row r="10" spans="2:23" ht="28.5" x14ac:dyDescent="0.4">
      <c r="B10" s="426">
        <v>5</v>
      </c>
      <c r="C10" s="427" t="s">
        <v>265</v>
      </c>
      <c r="D10" s="428">
        <f>payesh!E151</f>
        <v>0</v>
      </c>
      <c r="E10" s="429">
        <f>payesh!F151</f>
        <v>0</v>
      </c>
      <c r="F10" s="429">
        <f>payesh!G151</f>
        <v>0</v>
      </c>
      <c r="G10" s="429">
        <f>payesh!H151</f>
        <v>0</v>
      </c>
      <c r="H10" s="429">
        <f>payesh!I151</f>
        <v>0</v>
      </c>
      <c r="I10" s="429">
        <f>payesh!J151</f>
        <v>0</v>
      </c>
      <c r="J10" s="429">
        <f>payesh!K151</f>
        <v>0</v>
      </c>
      <c r="K10" s="429">
        <f>payesh!L151</f>
        <v>0</v>
      </c>
      <c r="L10" s="429">
        <f>payesh!M151</f>
        <v>0</v>
      </c>
      <c r="M10" s="429">
        <f>payesh!N151</f>
        <v>0</v>
      </c>
      <c r="N10" s="450">
        <f>COUNTIF(D10:M10,"ت9")</f>
        <v>0</v>
      </c>
      <c r="O10" s="430">
        <f>Pardakhti!N10</f>
        <v>0</v>
      </c>
      <c r="P10" s="431">
        <f>Pardakhti!O10</f>
        <v>0</v>
      </c>
      <c r="Q10" s="431">
        <f>Pardakhti!P10</f>
        <v>0</v>
      </c>
      <c r="R10" s="448">
        <f>Pardakhti!Q10</f>
        <v>0</v>
      </c>
      <c r="S10" s="456">
        <f t="shared" si="0"/>
        <v>0</v>
      </c>
      <c r="T10" s="462">
        <f>COUNTIF(J10:M10,"ت9")</f>
        <v>0</v>
      </c>
      <c r="U10" s="432">
        <f>Pardakhti!X10</f>
        <v>0</v>
      </c>
      <c r="V10" s="433">
        <f>Pardakhti!Y10</f>
        <v>0</v>
      </c>
      <c r="W10" s="446">
        <f t="shared" si="1"/>
        <v>0</v>
      </c>
    </row>
    <row r="11" spans="2:23" ht="43.5" thickBot="1" x14ac:dyDescent="0.45">
      <c r="B11" s="434">
        <v>6</v>
      </c>
      <c r="C11" s="435" t="s">
        <v>420</v>
      </c>
      <c r="D11" s="436">
        <f>payesh!E152</f>
        <v>0</v>
      </c>
      <c r="E11" s="437">
        <f>payesh!F152</f>
        <v>0</v>
      </c>
      <c r="F11" s="437">
        <f>payesh!G152</f>
        <v>0</v>
      </c>
      <c r="G11" s="437">
        <f>payesh!H152</f>
        <v>0</v>
      </c>
      <c r="H11" s="437">
        <f>payesh!I152</f>
        <v>0</v>
      </c>
      <c r="I11" s="437">
        <f>payesh!J152</f>
        <v>0</v>
      </c>
      <c r="J11" s="437">
        <f>payesh!K152</f>
        <v>0</v>
      </c>
      <c r="K11" s="437">
        <f>payesh!L152</f>
        <v>0</v>
      </c>
      <c r="L11" s="437">
        <f>payesh!M152</f>
        <v>0</v>
      </c>
      <c r="M11" s="437">
        <f>payesh!N152</f>
        <v>0</v>
      </c>
      <c r="N11" s="454">
        <f>COUNTIF(D11:M11,"ت11")</f>
        <v>0</v>
      </c>
      <c r="O11" s="438">
        <f>Pardakhti!N11</f>
        <v>0</v>
      </c>
      <c r="P11" s="439">
        <f>Pardakhti!O11</f>
        <v>0</v>
      </c>
      <c r="Q11" s="439">
        <f>Pardakhti!P11</f>
        <v>0</v>
      </c>
      <c r="R11" s="460">
        <f>Pardakhti!Q11</f>
        <v>0</v>
      </c>
      <c r="S11" s="457">
        <f t="shared" si="0"/>
        <v>0</v>
      </c>
      <c r="T11" s="463">
        <f>COUNTIF(J11:M11,"ت11")</f>
        <v>0</v>
      </c>
      <c r="U11" s="440">
        <f>Pardakhti!X11</f>
        <v>0</v>
      </c>
      <c r="V11" s="441">
        <f>Pardakhti!Y11</f>
        <v>0</v>
      </c>
      <c r="W11" s="464">
        <f t="shared" si="1"/>
        <v>0</v>
      </c>
    </row>
    <row r="12" spans="2:23" ht="19.5" thickBot="1" x14ac:dyDescent="0.45">
      <c r="B12" s="639" t="s">
        <v>106</v>
      </c>
      <c r="C12" s="642"/>
      <c r="D12" s="651"/>
      <c r="E12" s="651"/>
      <c r="F12" s="651"/>
      <c r="G12" s="651"/>
      <c r="H12" s="651"/>
      <c r="I12" s="651"/>
      <c r="J12" s="651"/>
      <c r="K12" s="651"/>
      <c r="L12" s="651"/>
      <c r="M12" s="651"/>
      <c r="N12" s="453">
        <f>SUM(N6:N11)</f>
        <v>0</v>
      </c>
      <c r="O12" s="458">
        <f t="shared" ref="O12:S12" si="2">SUM(O6:O11)</f>
        <v>0</v>
      </c>
      <c r="P12" s="458">
        <f t="shared" si="2"/>
        <v>0</v>
      </c>
      <c r="Q12" s="458">
        <f t="shared" si="2"/>
        <v>0</v>
      </c>
      <c r="R12" s="459">
        <f t="shared" si="2"/>
        <v>0</v>
      </c>
      <c r="S12" s="451">
        <f t="shared" si="2"/>
        <v>0</v>
      </c>
      <c r="T12" s="442">
        <f>SUM(T6:T11)</f>
        <v>0</v>
      </c>
      <c r="U12" s="465">
        <f t="shared" ref="U12:W12" si="3">SUM(U6:U11)</f>
        <v>0</v>
      </c>
      <c r="V12" s="466">
        <f t="shared" si="3"/>
        <v>0</v>
      </c>
      <c r="W12" s="452">
        <f t="shared" si="3"/>
        <v>0</v>
      </c>
    </row>
    <row r="13" spans="2:23" ht="19.5" customHeight="1" thickBot="1" x14ac:dyDescent="0.45">
      <c r="B13" s="639" t="s">
        <v>421</v>
      </c>
      <c r="C13" s="640"/>
      <c r="D13" s="641"/>
      <c r="E13" s="642"/>
      <c r="F13" s="642"/>
      <c r="G13" s="642"/>
      <c r="H13" s="642"/>
      <c r="I13" s="642"/>
      <c r="J13" s="642"/>
      <c r="K13" s="642"/>
      <c r="L13" s="642"/>
      <c r="M13" s="642"/>
      <c r="N13" s="474"/>
      <c r="O13" s="643"/>
      <c r="P13" s="644"/>
      <c r="Q13" s="644"/>
      <c r="R13" s="644"/>
      <c r="S13" s="645"/>
    </row>
    <row r="14" spans="2:23" ht="18" thickBot="1" x14ac:dyDescent="0.45"/>
    <row r="15" spans="2:23" ht="18.75" x14ac:dyDescent="0.4">
      <c r="B15" s="646" t="s">
        <v>422</v>
      </c>
      <c r="C15" s="647"/>
      <c r="D15" s="647"/>
      <c r="E15" s="647"/>
      <c r="F15" s="647"/>
      <c r="G15" s="647"/>
      <c r="H15" s="647"/>
      <c r="I15" s="647"/>
      <c r="J15" s="648"/>
      <c r="K15" s="649" t="s">
        <v>423</v>
      </c>
      <c r="L15" s="647"/>
      <c r="M15" s="647"/>
      <c r="N15" s="647"/>
      <c r="O15" s="648"/>
      <c r="P15" s="649" t="s">
        <v>424</v>
      </c>
      <c r="Q15" s="647"/>
      <c r="R15" s="647"/>
      <c r="S15" s="650"/>
    </row>
    <row r="16" spans="2:23" ht="19.5" thickBot="1" x14ac:dyDescent="0.45">
      <c r="B16" s="632"/>
      <c r="C16" s="633"/>
      <c r="D16" s="633"/>
      <c r="E16" s="633"/>
      <c r="F16" s="633"/>
      <c r="G16" s="633"/>
      <c r="H16" s="633"/>
      <c r="I16" s="633"/>
      <c r="J16" s="634"/>
      <c r="K16" s="635"/>
      <c r="L16" s="633"/>
      <c r="M16" s="633"/>
      <c r="N16" s="633"/>
      <c r="O16" s="634"/>
      <c r="P16" s="636"/>
      <c r="Q16" s="637"/>
      <c r="R16" s="637"/>
      <c r="S16" s="638"/>
    </row>
  </sheetData>
  <sheetProtection algorithmName="SHA-512" hashValue="r6Knlee5nso9gxOEts5h/kl924A9OVj3EBGQf68tqhfiWKnEA076dwQvz/m0avaX6jwevrpDTa/L2v+TdOIRMA==" saltValue="ywYulCt3HW4wok3+r5P+Kw==" spinCount="100000" sheet="1" objects="1" scenarios="1"/>
  <mergeCells count="25">
    <mergeCell ref="T3:W3"/>
    <mergeCell ref="N4:N5"/>
    <mergeCell ref="O4:O5"/>
    <mergeCell ref="P4:P5"/>
    <mergeCell ref="Q4:Q5"/>
    <mergeCell ref="R4:R5"/>
    <mergeCell ref="T4:T5"/>
    <mergeCell ref="U4:U5"/>
    <mergeCell ref="V4:V5"/>
    <mergeCell ref="W4:W5"/>
    <mergeCell ref="B12:M12"/>
    <mergeCell ref="B2:S2"/>
    <mergeCell ref="B3:B5"/>
    <mergeCell ref="C3:C5"/>
    <mergeCell ref="N3:S3"/>
    <mergeCell ref="S4:S5"/>
    <mergeCell ref="B16:J16"/>
    <mergeCell ref="K16:O16"/>
    <mergeCell ref="P16:S16"/>
    <mergeCell ref="B13:C13"/>
    <mergeCell ref="D13:M13"/>
    <mergeCell ref="O13:S13"/>
    <mergeCell ref="B15:J15"/>
    <mergeCell ref="K15:O15"/>
    <mergeCell ref="P15:S1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2016-09-04T10:46:21Z</dcterms:modified>
</cp:coreProperties>
</file>